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15" windowWidth="15330" windowHeight="4575" tabRatio="709" activeTab="0"/>
  </bookViews>
  <sheets>
    <sheet name="Checkliste" sheetId="1" r:id="rId1"/>
    <sheet name="Aus" sheetId="2" state="hidden" r:id="rId2"/>
    <sheet name="Bearbeitungen" sheetId="3" state="hidden" r:id="rId3"/>
    <sheet name="Abfrage" sheetId="4" state="hidden" r:id="rId4"/>
    <sheet name="DB" sheetId="5" state="hidden" r:id="rId5"/>
    <sheet name="form" sheetId="6" state="hidden" r:id="rId6"/>
    <sheet name="DBzg" sheetId="7" state="hidden" r:id="rId7"/>
    <sheet name="Sprache" sheetId="8" state="hidden" r:id="rId8"/>
  </sheets>
  <externalReferences>
    <externalReference r:id="rId11"/>
  </externalReferences>
  <definedNames>
    <definedName name="_xlnm._FilterDatabase" localSheetId="1" hidden="1">'Aus'!$A$7:$A$129</definedName>
    <definedName name="_xlnm._FilterDatabase" localSheetId="2" hidden="1">'Bearbeitungen'!$M$8:$M$73</definedName>
    <definedName name="Anfragenummer">'[1]CL'!$M$9</definedName>
    <definedName name="Breite">#REF!</definedName>
    <definedName name="DATABASE">'DB'!$A$1:$Z$500</definedName>
    <definedName name="DBZUBMAT">#REF!</definedName>
    <definedName name="_xlnm.Print_Area" localSheetId="1">'Aus'!$A$1:$H$140</definedName>
    <definedName name="_xlnm.Print_Area" localSheetId="2">'Bearbeitungen'!$A$1:$L$74</definedName>
    <definedName name="_xlnm.Print_Area" localSheetId="0">'Checkliste'!$A$1:$AJ$91</definedName>
    <definedName name="Gewicht">#REF!</definedName>
    <definedName name="Höhe">#REF!</definedName>
    <definedName name="KALKDB">'DB'!$A$1:$S$200</definedName>
    <definedName name="Kunde">'[1]CL'!$E$4</definedName>
    <definedName name="LackeDrop" localSheetId="7">#REF!</definedName>
    <definedName name="LackeDrop">'DB'!$B$2:$B$12</definedName>
    <definedName name="Lackkosten_Gehänge_Sys120">#REF!</definedName>
    <definedName name="Lackkosten_Gehänge_Sys200">#REF!</definedName>
    <definedName name="Lackkosten_Gehänge_Sys55">#REF!</definedName>
    <definedName name="Lackkosten_Pultwangen">#REF!</definedName>
    <definedName name="MGKz">#REF!</definedName>
    <definedName name="Tiefe">#REF!</definedName>
    <definedName name="Zähler">#REF!</definedName>
    <definedName name="ZNG" localSheetId="7">#REF!</definedName>
    <definedName name="ZNG">'DBzg'!$A$1:$Z$500</definedName>
  </definedNames>
  <calcPr fullCalcOnLoad="1"/>
</workbook>
</file>

<file path=xl/comments1.xml><?xml version="1.0" encoding="utf-8"?>
<comments xmlns="http://schemas.openxmlformats.org/spreadsheetml/2006/main">
  <authors>
    <author>.</author>
    <author>Notebook</author>
    <author>m.nerge</author>
    <author>e.falkenstein</author>
  </authors>
  <commentList>
    <comment ref="X80" authorId="0">
      <text>
        <r>
          <rPr>
            <b/>
            <sz val="8"/>
            <rFont val="Tahoma"/>
            <family val="0"/>
          </rPr>
          <t>Lack aus Drop Down Menü wählen</t>
        </r>
      </text>
    </comment>
    <comment ref="AD4" authorId="1">
      <text>
        <r>
          <rPr>
            <b/>
            <sz val="8"/>
            <rFont val="Tahoma"/>
            <family val="0"/>
          </rPr>
          <t>Nicht ausfüllen!
Wird von TA vergeben.</t>
        </r>
      </text>
    </comment>
    <comment ref="X81" authorId="0">
      <text>
        <r>
          <rPr>
            <b/>
            <sz val="8"/>
            <rFont val="Tahoma"/>
            <family val="0"/>
          </rPr>
          <t>Lack aus Drop Down Menü wählen</t>
        </r>
      </text>
    </comment>
    <comment ref="X82" authorId="0">
      <text>
        <r>
          <rPr>
            <b/>
            <sz val="8"/>
            <rFont val="Tahoma"/>
            <family val="0"/>
          </rPr>
          <t>Lack aus Drop Down Menü wählen</t>
        </r>
      </text>
    </comment>
    <comment ref="X83" authorId="0">
      <text>
        <r>
          <rPr>
            <b/>
            <sz val="8"/>
            <rFont val="Tahoma"/>
            <family val="0"/>
          </rPr>
          <t>Lack aus Drop Down Menü wählen</t>
        </r>
      </text>
    </comment>
    <comment ref="X84" authorId="2">
      <text>
        <r>
          <rPr>
            <b/>
            <sz val="10"/>
            <rFont val="Tahoma"/>
            <family val="2"/>
          </rPr>
          <t>Wird von TA eingetragen!</t>
        </r>
      </text>
    </comment>
    <comment ref="X85" authorId="2">
      <text>
        <r>
          <rPr>
            <b/>
            <sz val="10"/>
            <rFont val="Tahoma"/>
            <family val="2"/>
          </rPr>
          <t>Wird von TA eingetragen!</t>
        </r>
      </text>
    </comment>
    <comment ref="J67" authorId="0">
      <text>
        <r>
          <rPr>
            <b/>
            <sz val="10"/>
            <rFont val="Tahoma"/>
            <family val="2"/>
          </rPr>
          <t>Eingabe zur Berechnung notwenig!</t>
        </r>
      </text>
    </comment>
    <comment ref="Z67" authorId="0">
      <text>
        <r>
          <rPr>
            <b/>
            <sz val="10"/>
            <rFont val="Tahoma"/>
            <family val="2"/>
          </rPr>
          <t>Eingabe zur Berechnung notwenig!</t>
        </r>
      </text>
    </comment>
    <comment ref="AD70" authorId="0">
      <text>
        <r>
          <rPr>
            <b/>
            <sz val="8"/>
            <rFont val="Tahoma"/>
            <family val="0"/>
          </rPr>
          <t>Wird von TA ausgefüllt!</t>
        </r>
      </text>
    </comment>
    <comment ref="AD71" authorId="0">
      <text>
        <r>
          <rPr>
            <b/>
            <sz val="8"/>
            <rFont val="Tahoma"/>
            <family val="0"/>
          </rPr>
          <t>Wird von TA ausgefüllt!</t>
        </r>
      </text>
    </comment>
    <comment ref="G70" authorId="0">
      <text>
        <r>
          <rPr>
            <b/>
            <sz val="10"/>
            <rFont val="Tahoma"/>
            <family val="2"/>
          </rPr>
          <t>Wenn Trennsteg mitgeliefert wird, dann unbedingt hier Werte eintragen! Wichtig für weitere Berechnungen!</t>
        </r>
      </text>
    </comment>
    <comment ref="G71" authorId="0">
      <text>
        <r>
          <rPr>
            <b/>
            <sz val="10"/>
            <rFont val="Tahoma"/>
            <family val="2"/>
          </rPr>
          <t>Wenn Trennsteg mitgeliefert wird, dann unbedingt hier Werte eintragen! Wichtig für weitere Berechnungen!</t>
        </r>
      </text>
    </comment>
    <comment ref="J70" authorId="0">
      <text>
        <r>
          <rPr>
            <b/>
            <sz val="10"/>
            <rFont val="Tahoma"/>
            <family val="2"/>
          </rPr>
          <t>Wenn Trennsteg mitgeliefert wird, dann unbedingt hier Werte eintragen! Wichtig für weitere Berechnungen!</t>
        </r>
      </text>
    </comment>
    <comment ref="J71" authorId="0">
      <text>
        <r>
          <rPr>
            <b/>
            <sz val="10"/>
            <rFont val="Tahoma"/>
            <family val="2"/>
          </rPr>
          <t>Wenn Trennsteg mitgeliefert wird, dann unbedingt hier Werte eintragen! Wichtig für weitere Berechnungen!</t>
        </r>
      </text>
    </comment>
    <comment ref="AF9" authorId="3">
      <text>
        <r>
          <rPr>
            <b/>
            <sz val="8"/>
            <rFont val="Tahoma"/>
            <family val="0"/>
          </rPr>
          <t>Erste Stückzahl</t>
        </r>
      </text>
    </comment>
    <comment ref="AF10" authorId="3">
      <text>
        <r>
          <rPr>
            <b/>
            <sz val="8"/>
            <rFont val="Tahoma"/>
            <family val="0"/>
          </rPr>
          <t>Zweite Stückzahl</t>
        </r>
      </text>
    </comment>
  </commentList>
</comments>
</file>

<file path=xl/sharedStrings.xml><?xml version="1.0" encoding="utf-8"?>
<sst xmlns="http://schemas.openxmlformats.org/spreadsheetml/2006/main" count="1909" uniqueCount="1195">
  <si>
    <t>stück Trennsteg</t>
  </si>
  <si>
    <t>Artikel Nr. BP</t>
  </si>
  <si>
    <t>1.Bedienplatte Artikel Nr.:</t>
  </si>
  <si>
    <t>2.Bedienplatte Artikel Nr.:</t>
  </si>
  <si>
    <t>mit</t>
  </si>
  <si>
    <t>Schwenk verschr. RW Gelenk</t>
  </si>
  <si>
    <t>Schwenk. Standard Scharnier</t>
  </si>
  <si>
    <t>RW fest</t>
  </si>
  <si>
    <t>Abst. Bohrungen</t>
  </si>
  <si>
    <t>Klemmriegel aussen</t>
  </si>
  <si>
    <t>Schaube</t>
  </si>
  <si>
    <t>Wieviel RW Befestigung?</t>
  </si>
  <si>
    <t>RW fest Schrauben</t>
  </si>
  <si>
    <t>FP von innen</t>
  </si>
  <si>
    <t>FP von aussen</t>
  </si>
  <si>
    <t>RW von innen</t>
  </si>
  <si>
    <t>RW von aussen</t>
  </si>
  <si>
    <t>Σ</t>
  </si>
  <si>
    <t>Linsensenkopfschr. M5x12</t>
  </si>
  <si>
    <t>Wieviel Schlösser?</t>
  </si>
  <si>
    <t>RWs</t>
  </si>
  <si>
    <t>Höhe RW</t>
  </si>
  <si>
    <t>MAX Höhe bei RWs</t>
  </si>
  <si>
    <t>MAX Höhe bei Tür</t>
  </si>
  <si>
    <t>Wieviel Dichtung?</t>
  </si>
  <si>
    <t>Maße</t>
  </si>
  <si>
    <t>Σ=</t>
  </si>
  <si>
    <t>FP</t>
  </si>
  <si>
    <t>RW</t>
  </si>
  <si>
    <t>Länge</t>
  </si>
  <si>
    <t>TS</t>
  </si>
  <si>
    <t>BP 1</t>
  </si>
  <si>
    <t>BP 2</t>
  </si>
  <si>
    <t>Rundschnur</t>
  </si>
  <si>
    <t>Dichtband</t>
  </si>
  <si>
    <t>DB 2m Rolle</t>
  </si>
  <si>
    <t>(0)</t>
  </si>
  <si>
    <t>Gesamt Σ=</t>
  </si>
  <si>
    <t>Dichtband 6x2 auf 2m Rolle</t>
  </si>
  <si>
    <t>D118</t>
  </si>
  <si>
    <t>Welches Erdungsset?</t>
  </si>
  <si>
    <t>FP innen</t>
  </si>
  <si>
    <t>RW schwenkbar</t>
  </si>
  <si>
    <t>FP aussen</t>
  </si>
  <si>
    <t>RW innen</t>
  </si>
  <si>
    <t>RW aussen</t>
  </si>
  <si>
    <t>9806113000=</t>
  </si>
  <si>
    <t>9806013000=</t>
  </si>
  <si>
    <t>9806114000=</t>
  </si>
  <si>
    <t>19" Montageset (Schrauben und Käfigmuttern M6)</t>
  </si>
  <si>
    <t>(nur in Verbindung mit Zubehör für AUSSEN montierte Platten)</t>
  </si>
  <si>
    <t>Stück</t>
  </si>
  <si>
    <t>C</t>
  </si>
  <si>
    <t>Res</t>
  </si>
  <si>
    <t>Std.Scharnier 2 RWs</t>
  </si>
  <si>
    <t>Gesamt=</t>
  </si>
  <si>
    <t>Höhe BP 1</t>
  </si>
  <si>
    <t>Breite BP 1</t>
  </si>
  <si>
    <t>Breite BP 2</t>
  </si>
  <si>
    <t>Höhe BP 2</t>
  </si>
  <si>
    <t>BP1 innen</t>
  </si>
  <si>
    <t>BP2 innen</t>
  </si>
  <si>
    <t>BP1 aussen</t>
  </si>
  <si>
    <t>BP2 aussen</t>
  </si>
  <si>
    <t>BP1 von innen</t>
  </si>
  <si>
    <t>BP2 von aussen</t>
  </si>
  <si>
    <t>BP2 von innen</t>
  </si>
  <si>
    <t>Wieviel BP 1 Befestigung?</t>
  </si>
  <si>
    <t>Wieviel BP2 Befestigung?</t>
  </si>
  <si>
    <t>Teilfrontplatten</t>
  </si>
  <si>
    <t>inklusive 1xDichtung</t>
  </si>
  <si>
    <t>Wieviel Scharniere  RWS?</t>
  </si>
  <si>
    <t>Anzahl Scharn.</t>
  </si>
  <si>
    <t>Zg. Nummer</t>
  </si>
  <si>
    <t>Profil</t>
  </si>
  <si>
    <t>m35s600001</t>
  </si>
  <si>
    <t>1x Schloßbearbeitung</t>
  </si>
  <si>
    <t>2x Schloßbearbeitung</t>
  </si>
  <si>
    <t>m35s600002</t>
  </si>
  <si>
    <t>m35s500003</t>
  </si>
  <si>
    <t>m31s700001</t>
  </si>
  <si>
    <t>m31s700002</t>
  </si>
  <si>
    <t>m31s500003</t>
  </si>
  <si>
    <t>m31s800004</t>
  </si>
  <si>
    <t>m31s800005</t>
  </si>
  <si>
    <t>Std. Tragsystem SL/50/60</t>
  </si>
  <si>
    <t>Tragsystem DNK</t>
  </si>
  <si>
    <t>Anschraubscharnierbearbeitung 55</t>
  </si>
  <si>
    <t>Anschraubscharnierbearbeitung 120</t>
  </si>
  <si>
    <t>Pultbearbeitung 1x</t>
  </si>
  <si>
    <t>Pultbearbeitung 2x</t>
  </si>
  <si>
    <t>m32s700001</t>
  </si>
  <si>
    <t>m32s700002</t>
  </si>
  <si>
    <t xml:space="preserve">KPA : </t>
  </si>
  <si>
    <t>Texte für Zusammenfassung "Kalkulationsblatt"</t>
  </si>
  <si>
    <t>m32s700003</t>
  </si>
  <si>
    <t>m32s700004</t>
  </si>
  <si>
    <t>m32s500005</t>
  </si>
  <si>
    <t>m32s800006</t>
  </si>
  <si>
    <t>m32s900007</t>
  </si>
  <si>
    <t>m32s900008</t>
  </si>
  <si>
    <t>Tragsystem 80</t>
  </si>
  <si>
    <t>Tragsystem Neigungsadapter</t>
  </si>
  <si>
    <t>Reserviert</t>
  </si>
  <si>
    <t>Anschraubscharnierbearbeitung 200</t>
  </si>
  <si>
    <t>Pultbearbeitung 2x und TS 60</t>
  </si>
  <si>
    <t>Pultbearbeitung 2x und TS 80</t>
  </si>
  <si>
    <t>m35g600001</t>
  </si>
  <si>
    <t>55 G</t>
  </si>
  <si>
    <t>m35g600002</t>
  </si>
  <si>
    <t>m35g500003</t>
  </si>
  <si>
    <t>Anschraubscharnierbearbeitung 55 G</t>
  </si>
  <si>
    <t>m31g700001</t>
  </si>
  <si>
    <t>120 G</t>
  </si>
  <si>
    <t>m31g700002</t>
  </si>
  <si>
    <t>m31g500003</t>
  </si>
  <si>
    <t>Anschraubscharnierbearbeitung 120 G</t>
  </si>
  <si>
    <t>m31g800004</t>
  </si>
  <si>
    <t>m31g800005</t>
  </si>
  <si>
    <t>m32g700001</t>
  </si>
  <si>
    <t>200 G</t>
  </si>
  <si>
    <t>m32g700002</t>
  </si>
  <si>
    <t>m32g700003</t>
  </si>
  <si>
    <t>m32g700004</t>
  </si>
  <si>
    <t>m32g500005</t>
  </si>
  <si>
    <t>Anschraubscharnierbearbeitung 200 G</t>
  </si>
  <si>
    <t>m32g800006</t>
  </si>
  <si>
    <t>m32g900007</t>
  </si>
  <si>
    <t>m32g900008</t>
  </si>
  <si>
    <t>55+200</t>
  </si>
  <si>
    <t>55+120</t>
  </si>
  <si>
    <t>120+55</t>
  </si>
  <si>
    <t>200+55</t>
  </si>
  <si>
    <t>Aussengelenke</t>
  </si>
  <si>
    <t xml:space="preserve"> </t>
  </si>
  <si>
    <t>wird erst zur Schnellkalkulation freigegeben !</t>
  </si>
  <si>
    <t>Rüstzeit</t>
  </si>
  <si>
    <t>Bearbeitungszeit</t>
  </si>
  <si>
    <t>Kurzbez. Bearb.</t>
  </si>
  <si>
    <t>Außengelenk</t>
  </si>
  <si>
    <t>Seite</t>
  </si>
  <si>
    <t>Verschluß (1x)</t>
  </si>
  <si>
    <t>Verschluß (2x)</t>
  </si>
  <si>
    <t>Pultverbindung</t>
  </si>
  <si>
    <t>Tragsystem (DNK)</t>
  </si>
  <si>
    <t>Tragsystem (FL-KU 80)</t>
  </si>
  <si>
    <t>Tragsyst. (FL 50/60/SL)</t>
  </si>
  <si>
    <t>Tragsyst. (Neigungsad.)</t>
  </si>
  <si>
    <t>Pultverb. u. Tragsyst.60</t>
  </si>
  <si>
    <t>Pultverb. u. Tragsyst.80</t>
  </si>
  <si>
    <t>APL-Übernahme-Texte</t>
  </si>
  <si>
    <t>175 Tür hinten</t>
  </si>
  <si>
    <t>255 Tür hinten</t>
  </si>
  <si>
    <t>Gewicht:</t>
  </si>
  <si>
    <t>Gewicht Komplett:</t>
  </si>
  <si>
    <t>Art.-Nr.:  9057181000   MTL 0404/02</t>
  </si>
  <si>
    <t>Menge Lack Komplett</t>
  </si>
  <si>
    <t>Lackmenge [g]</t>
  </si>
  <si>
    <t>Kg</t>
  </si>
  <si>
    <t>RAL 7016, gepulvert</t>
  </si>
  <si>
    <t>Lack pro Teil [g]</t>
  </si>
  <si>
    <t>mit Standard Scharnier</t>
  </si>
  <si>
    <t>mit verschraubtem Rückwandgelenk</t>
  </si>
  <si>
    <t>fest verschraubt</t>
  </si>
  <si>
    <t>Lage der Rückwand:</t>
  </si>
  <si>
    <t>Gehäusetiefe:</t>
  </si>
  <si>
    <t>Aussentiefe (mm)</t>
  </si>
  <si>
    <t>Info Feld:</t>
  </si>
  <si>
    <t>Gewählt wurde : FP von innen</t>
  </si>
  <si>
    <t>Gewählt wurde : FP von aussen</t>
  </si>
  <si>
    <t>Gewählt wurde : RW von innen</t>
  </si>
  <si>
    <t>Gewählt wurde : RW von aussen</t>
  </si>
  <si>
    <t>Gewählt wurde : RW schwenkbar</t>
  </si>
  <si>
    <t>TORX Blechschr. 5x12</t>
  </si>
  <si>
    <t>Bearbeitungszeichnungen CC-3000</t>
  </si>
  <si>
    <t>Anfrage Nr.:</t>
  </si>
  <si>
    <t>Artikel Nr.:</t>
  </si>
  <si>
    <t>Nur zur Information!</t>
  </si>
  <si>
    <t>Datum:</t>
  </si>
  <si>
    <t>Bearbeiter:</t>
  </si>
  <si>
    <t xml:space="preserve"> Profil und Bearbeitung</t>
  </si>
  <si>
    <t>Anzalhl</t>
  </si>
  <si>
    <t>Nr. der Bearbeitung</t>
  </si>
  <si>
    <t>Schloßbearbeitung 1x</t>
  </si>
  <si>
    <t>Schloßbearbeitung 2x</t>
  </si>
  <si>
    <t>Gelenkbearbeitung</t>
  </si>
  <si>
    <t>Tragsystembearb. SL / 50 /60</t>
  </si>
  <si>
    <t>Tragsystembearb. DNK</t>
  </si>
  <si>
    <t>Tragsystembearb. 80</t>
  </si>
  <si>
    <t>Tragsystembearb. Neigungsad.</t>
  </si>
  <si>
    <t>Pult und Tragsystem 50 /60</t>
  </si>
  <si>
    <t>Pult und Tragsystem 80</t>
  </si>
  <si>
    <t>Zusätzliche Bearbeitungen</t>
  </si>
  <si>
    <t>Trennstegbearb. waagerecht</t>
  </si>
  <si>
    <t>Trennstegbearb. senkrecht</t>
  </si>
  <si>
    <t>mco20003214</t>
  </si>
  <si>
    <t>mco20003215</t>
  </si>
  <si>
    <r>
      <t xml:space="preserve">Trennstegbearb. </t>
    </r>
    <r>
      <rPr>
        <b/>
        <sz val="12"/>
        <rFont val="Arial"/>
        <family val="2"/>
      </rPr>
      <t>Griffprof</t>
    </r>
    <r>
      <rPr>
        <sz val="12"/>
        <rFont val="Arial"/>
        <family val="2"/>
      </rPr>
      <t>. waag.</t>
    </r>
  </si>
  <si>
    <r>
      <t xml:space="preserve">Trennstegbearb. </t>
    </r>
    <r>
      <rPr>
        <b/>
        <sz val="12"/>
        <rFont val="Arial"/>
        <family val="2"/>
      </rPr>
      <t>Griffprof</t>
    </r>
    <r>
      <rPr>
        <sz val="12"/>
        <rFont val="Arial"/>
        <family val="2"/>
      </rPr>
      <t>. senk.</t>
    </r>
  </si>
  <si>
    <t>TORXSchr. M4x10</t>
  </si>
  <si>
    <t>Erdung RW</t>
  </si>
  <si>
    <t>Erdung feste Rückwand</t>
  </si>
  <si>
    <r>
      <t xml:space="preserve">Trennstegbearb. </t>
    </r>
    <r>
      <rPr>
        <b/>
        <sz val="10"/>
        <rFont val="Arial"/>
        <family val="2"/>
      </rPr>
      <t>Griffprof</t>
    </r>
    <r>
      <rPr>
        <sz val="10"/>
        <rFont val="Arial"/>
        <family val="2"/>
      </rPr>
      <t>. waag.</t>
    </r>
  </si>
  <si>
    <r>
      <t xml:space="preserve">Trennstegbearb. </t>
    </r>
    <r>
      <rPr>
        <b/>
        <sz val="10"/>
        <rFont val="Arial"/>
        <family val="2"/>
      </rPr>
      <t>Griffprof</t>
    </r>
    <r>
      <rPr>
        <sz val="10"/>
        <rFont val="Arial"/>
        <family val="2"/>
      </rPr>
      <t>. senk.</t>
    </r>
  </si>
  <si>
    <t>Trennsteg G</t>
  </si>
  <si>
    <t>TR-Prof.</t>
  </si>
  <si>
    <t>TR-Prof. G</t>
  </si>
  <si>
    <t>Gewählt wurde : RW fest verschraubt</t>
  </si>
  <si>
    <t>english</t>
  </si>
  <si>
    <t>francais</t>
  </si>
  <si>
    <t>italiano</t>
  </si>
  <si>
    <t>Kopf</t>
  </si>
  <si>
    <t>Custodia CC-3000</t>
  </si>
  <si>
    <t>Cliente</t>
  </si>
  <si>
    <t>Gruppo di prodotto</t>
  </si>
  <si>
    <t>Codice</t>
  </si>
  <si>
    <t>No.art.</t>
  </si>
  <si>
    <t>Indirizzo</t>
  </si>
  <si>
    <t>No.cliente</t>
  </si>
  <si>
    <t>Telefono</t>
  </si>
  <si>
    <t>Fax</t>
  </si>
  <si>
    <t>Settore</t>
  </si>
  <si>
    <t>Interlocutore</t>
  </si>
  <si>
    <t>Reparto</t>
  </si>
  <si>
    <t>Richiesta di prezzo</t>
  </si>
  <si>
    <t>Prob. prezzo di vendita</t>
  </si>
  <si>
    <t>Quantità</t>
  </si>
  <si>
    <t>Richiesta</t>
  </si>
  <si>
    <t>No.richiesta</t>
  </si>
  <si>
    <t>Quantità annuale</t>
  </si>
  <si>
    <t>Ordine</t>
  </si>
  <si>
    <t>Data di consegna</t>
  </si>
  <si>
    <t>Custodia</t>
  </si>
  <si>
    <t>Pulpito, parte superiore</t>
  </si>
  <si>
    <t>Pulpito, parte inferiore</t>
  </si>
  <si>
    <t>davanti</t>
  </si>
  <si>
    <t>Dimensioni (mm)</t>
  </si>
  <si>
    <t>(sempre relativo al profilo standard)</t>
  </si>
  <si>
    <t>Dimensioni esterne</t>
  </si>
  <si>
    <t xml:space="preserve">Fest verschraubte Rückwand: </t>
  </si>
  <si>
    <t>Piastra avvitata:</t>
  </si>
  <si>
    <t>Schwenkbare Rückwand:</t>
  </si>
  <si>
    <t>Piastra incernierata:</t>
  </si>
  <si>
    <t>Piastra frontale</t>
  </si>
  <si>
    <t>bei Frontplatte von innen</t>
  </si>
  <si>
    <t>per piastra frontale interna</t>
  </si>
  <si>
    <t>bei Frontplatte von aussen</t>
  </si>
  <si>
    <t>per piastra frontale esterna</t>
  </si>
  <si>
    <t>Aspetto frontale (selezione maniglie)</t>
  </si>
  <si>
    <t>senza</t>
  </si>
  <si>
    <t>sotto</t>
  </si>
  <si>
    <t>sinistra + destra</t>
  </si>
  <si>
    <t>s.tra + d.tra + sotto</t>
  </si>
  <si>
    <t>tutt'attorno</t>
  </si>
  <si>
    <t>Gehäuse OHNE Türprofil</t>
  </si>
  <si>
    <t>Custodia SENZA portella</t>
  </si>
  <si>
    <t>Profondità:</t>
  </si>
  <si>
    <t>Posizione della piastra frontale:</t>
  </si>
  <si>
    <t>Prof. esterna (mm)</t>
  </si>
  <si>
    <t>Prof. interna (mm)</t>
  </si>
  <si>
    <t>interna</t>
  </si>
  <si>
    <t>esterna</t>
  </si>
  <si>
    <t>Posizione della piastra posteriore:</t>
  </si>
  <si>
    <t>fissata con viti</t>
  </si>
  <si>
    <t>avvitata</t>
  </si>
  <si>
    <t>incernierata</t>
  </si>
  <si>
    <t>con cerniere standard</t>
  </si>
  <si>
    <t>con cerniere rinforzate ed avvitate</t>
  </si>
  <si>
    <t>Gehäuse MIT Türprofil 55</t>
  </si>
  <si>
    <t>Portella</t>
  </si>
  <si>
    <t>o</t>
  </si>
  <si>
    <t>dietro</t>
  </si>
  <si>
    <t>Cerniere esterne</t>
  </si>
  <si>
    <t>* PF interna e PP interna</t>
  </si>
  <si>
    <t>* PF interna e PP esterna</t>
  </si>
  <si>
    <t>* PF esterna e PP interna</t>
  </si>
  <si>
    <t>* PF esterna e PP esterna</t>
  </si>
  <si>
    <t>Portella davanti</t>
  </si>
  <si>
    <t>a sinistra</t>
  </si>
  <si>
    <t>a destra</t>
  </si>
  <si>
    <t>Portella dietro</t>
  </si>
  <si>
    <t>Serratura</t>
  </si>
  <si>
    <t>Quadra (mm):</t>
  </si>
  <si>
    <t xml:space="preserve">Triangolo (mm): </t>
  </si>
  <si>
    <t>Doppio pettine (mm):</t>
  </si>
  <si>
    <t>Speciale cliente</t>
  </si>
  <si>
    <t>Manopola senza chiave</t>
  </si>
  <si>
    <t>Manopola con chiave</t>
  </si>
  <si>
    <t>(senza chiave)</t>
  </si>
  <si>
    <t>Manopola E1</t>
  </si>
  <si>
    <t>con</t>
  </si>
  <si>
    <t>Piastra posteriore</t>
  </si>
  <si>
    <t>Per il montaggio interno della piastra frontale: guarnizione e kit di fissaggio</t>
  </si>
  <si>
    <t>Per il montaggio esterno della piastra frontale: guarnizione / rondelle / dadi M5</t>
  </si>
  <si>
    <t>Kit di montaggio 19" (viti e dadi M6)</t>
  </si>
  <si>
    <t>(solo insieme agli accessori per il montaggio esterno della piastra frontale)</t>
  </si>
  <si>
    <t>Pezzi</t>
  </si>
  <si>
    <t>Distanziale</t>
  </si>
  <si>
    <t>Trennsteghöhe</t>
  </si>
  <si>
    <t>Altezza distanziale</t>
  </si>
  <si>
    <t>Quantità:</t>
  </si>
  <si>
    <t>unmontiert (Standard)</t>
  </si>
  <si>
    <t>non montato (standard)</t>
  </si>
  <si>
    <t>montato a destra</t>
  </si>
  <si>
    <t>montato a sinistra</t>
  </si>
  <si>
    <t>orizzontale</t>
  </si>
  <si>
    <t>montato in basso</t>
  </si>
  <si>
    <t>montato in alto</t>
  </si>
  <si>
    <t xml:space="preserve">Piastre operatori </t>
  </si>
  <si>
    <t>(wenn keine Platte von Bernstein mitgeliefert wird, dann unter Punkt 8 Befestigungszubehör wählen)</t>
  </si>
  <si>
    <t>(se la Bernstein non fornisce nessuna piastra, occorre selezionare il kit di fissaggio sotto punto 8)</t>
  </si>
  <si>
    <t>Largh. x Alt.</t>
  </si>
  <si>
    <t>1. Piastra operatore</t>
  </si>
  <si>
    <t>non montata</t>
  </si>
  <si>
    <t>montata dall'interno</t>
  </si>
  <si>
    <t>montata dall'esterno</t>
  </si>
  <si>
    <t>No.art. PO</t>
  </si>
  <si>
    <t>2. Piastra operatore</t>
  </si>
  <si>
    <t>Lavorazione per sistema di sospensione</t>
  </si>
  <si>
    <t>Senza</t>
  </si>
  <si>
    <t>Lavorazione standard (Flangia 50 / 60 / SL)</t>
  </si>
  <si>
    <t>Giunto orientabile inclinabile</t>
  </si>
  <si>
    <t>Adattatore inclinato</t>
  </si>
  <si>
    <t>(Solo profilo 200)</t>
  </si>
  <si>
    <t>Giunto flangia 80</t>
  </si>
  <si>
    <t>Giunto per leggìo</t>
  </si>
  <si>
    <t>Lavorazione su specifica cliente (vedi sotto)</t>
  </si>
  <si>
    <t>Lato:</t>
  </si>
  <si>
    <t>Verniciatura</t>
  </si>
  <si>
    <t>Profili corpo base</t>
  </si>
  <si>
    <t xml:space="preserve">anodizzato, naturale </t>
  </si>
  <si>
    <t>Profili portella</t>
  </si>
  <si>
    <t>Moduli angolari / coperture angolari</t>
  </si>
  <si>
    <t>RAL 7016, verniciatura con polveri</t>
  </si>
  <si>
    <t>Distanziale:</t>
  </si>
  <si>
    <t>Piastra frontale:</t>
  </si>
  <si>
    <t>No.art. PF:</t>
  </si>
  <si>
    <t>Piastra posteriore:</t>
  </si>
  <si>
    <t>No.art. PP:</t>
  </si>
  <si>
    <t>Specifica cliente</t>
  </si>
  <si>
    <t>Accessori, note</t>
  </si>
  <si>
    <t>Inclusi nella fornitura: chiave e kit di messa a terra</t>
  </si>
  <si>
    <t>Allegato</t>
  </si>
  <si>
    <t>Senza allegato</t>
  </si>
  <si>
    <t>Einblendung</t>
  </si>
  <si>
    <t>Scelto: PF dall'interno</t>
  </si>
  <si>
    <t>Scelto: PF dall'esterno</t>
  </si>
  <si>
    <t>Scelto: PP dall'interno</t>
  </si>
  <si>
    <t>Scelto: PP dall'esterno</t>
  </si>
  <si>
    <t>Scelto: PP incernierata</t>
  </si>
  <si>
    <t>Scelto: PP avvitata</t>
  </si>
  <si>
    <t>Control enclosure CC-3000</t>
  </si>
  <si>
    <t>Check list</t>
  </si>
  <si>
    <t>Customer</t>
  </si>
  <si>
    <t>Product group</t>
  </si>
  <si>
    <t>Part No.</t>
  </si>
  <si>
    <t>Address</t>
  </si>
  <si>
    <t>Cust. No.</t>
  </si>
  <si>
    <t>Telephone</t>
  </si>
  <si>
    <t>Branch</t>
  </si>
  <si>
    <t>Contact</t>
  </si>
  <si>
    <t>Department</t>
  </si>
  <si>
    <t>Budget enquiry</t>
  </si>
  <si>
    <t>Quantity</t>
  </si>
  <si>
    <t>Price enquiry</t>
  </si>
  <si>
    <t>Enquiry No.</t>
  </si>
  <si>
    <t>Quantity per annum</t>
  </si>
  <si>
    <t>Order</t>
  </si>
  <si>
    <t>Delivery date</t>
  </si>
  <si>
    <t>Enclosure</t>
  </si>
  <si>
    <t>Desk version, control enclosure</t>
  </si>
  <si>
    <t>Desk version, keyboard enclosure</t>
  </si>
  <si>
    <t>Front</t>
  </si>
  <si>
    <t>Estimated mounted component weight:</t>
  </si>
  <si>
    <t>Dimensions (mm)</t>
  </si>
  <si>
    <t>External enclosure dimensions</t>
  </si>
  <si>
    <t>Width x Height</t>
  </si>
  <si>
    <t>Front plate</t>
  </si>
  <si>
    <t>on front plate mounted internally</t>
  </si>
  <si>
    <t>on front plate mounted externally</t>
  </si>
  <si>
    <t>Front design (Choice  of grip profiles)</t>
  </si>
  <si>
    <t>without</t>
  </si>
  <si>
    <t>bottom</t>
  </si>
  <si>
    <t>left + right</t>
  </si>
  <si>
    <t>left + right + bottom</t>
  </si>
  <si>
    <t>Enclosure depth:</t>
  </si>
  <si>
    <t>External depth (mm)</t>
  </si>
  <si>
    <t>Usable depth (mm)</t>
  </si>
  <si>
    <t>internal</t>
  </si>
  <si>
    <t>external</t>
  </si>
  <si>
    <t xml:space="preserve">Fixed </t>
  </si>
  <si>
    <t>Fixed</t>
  </si>
  <si>
    <t xml:space="preserve">Hinged </t>
  </si>
  <si>
    <t>with standard hinges</t>
  </si>
  <si>
    <t>with back plate hinges</t>
  </si>
  <si>
    <t>Door</t>
  </si>
  <si>
    <t>or</t>
  </si>
  <si>
    <t>Back</t>
  </si>
  <si>
    <t>External hinges</t>
  </si>
  <si>
    <t>* FP internal    and   BP internal</t>
  </si>
  <si>
    <t>*FP internal   and    BP external</t>
  </si>
  <si>
    <t>*FP external   and    BP internal</t>
  </si>
  <si>
    <t>*FP external   and    BP external</t>
  </si>
  <si>
    <t>Door hinged from the front</t>
  </si>
  <si>
    <t>Left</t>
  </si>
  <si>
    <t>Right</t>
  </si>
  <si>
    <t>Door hinged from the back</t>
  </si>
  <si>
    <t>Lock</t>
  </si>
  <si>
    <t>Square (mm):</t>
  </si>
  <si>
    <t>Triangular (mm):</t>
  </si>
  <si>
    <t>Double beard (mm):</t>
  </si>
  <si>
    <t>Daimler Chrysler:</t>
  </si>
  <si>
    <t>Special lock/customer specific</t>
  </si>
  <si>
    <t>Toggle without lock</t>
  </si>
  <si>
    <t>Toggle with lock</t>
  </si>
  <si>
    <t>(without  key)</t>
  </si>
  <si>
    <t>Toggle with E1</t>
  </si>
  <si>
    <t>none</t>
  </si>
  <si>
    <t>with</t>
  </si>
  <si>
    <t>Back plate</t>
  </si>
  <si>
    <t>For plates mounted internally: gasket, clips etc.</t>
  </si>
  <si>
    <t>For plates mounted externally: gasket/ washers/nuts M5</t>
  </si>
  <si>
    <t>19"fixing set (Screws and nuts M6)</t>
  </si>
  <si>
    <t>(only in connection with accessories for externally mounted plates)</t>
  </si>
  <si>
    <t>Piece</t>
  </si>
  <si>
    <t>Separating piece</t>
  </si>
  <si>
    <t>Quantity:</t>
  </si>
  <si>
    <t>not mounted (Standard)</t>
  </si>
  <si>
    <t>mounted right</t>
  </si>
  <si>
    <t>mounted left</t>
  </si>
  <si>
    <t>horizontal</t>
  </si>
  <si>
    <t>mounted at the bottom</t>
  </si>
  <si>
    <t>mounted at the top</t>
  </si>
  <si>
    <t>1. Operating plate</t>
  </si>
  <si>
    <t>not mounted</t>
  </si>
  <si>
    <t>internally mounted</t>
  </si>
  <si>
    <t>externally mounted</t>
  </si>
  <si>
    <t>Article No. BP</t>
  </si>
  <si>
    <t>2. Operating plate</t>
  </si>
  <si>
    <t>Machining for suspension system</t>
  </si>
  <si>
    <t>Standard machining (Flange coupling 50/ 60/SL</t>
  </si>
  <si>
    <t>Swivel tilt coupling</t>
  </si>
  <si>
    <t xml:space="preserve">Angle adapter </t>
  </si>
  <si>
    <t>(Profile 200 only)</t>
  </si>
  <si>
    <t>Flange coupling 80</t>
  </si>
  <si>
    <t>Desk attachment</t>
  </si>
  <si>
    <t>Special machining/cusomer specific</t>
  </si>
  <si>
    <t>Side:</t>
  </si>
  <si>
    <t>Paint</t>
  </si>
  <si>
    <t>Basic profile:</t>
  </si>
  <si>
    <t>anodised, natural colour</t>
  </si>
  <si>
    <t>Dooe profile</t>
  </si>
  <si>
    <t>Corner pieces/End caps</t>
  </si>
  <si>
    <t>RAL 7016 powder coat</t>
  </si>
  <si>
    <t>Separating piece:</t>
  </si>
  <si>
    <t>Front plate:</t>
  </si>
  <si>
    <t>Article No. FP</t>
  </si>
  <si>
    <t>Customer's specification</t>
  </si>
  <si>
    <t>Accessories,  remarks</t>
  </si>
  <si>
    <t>Included in delivery: Key and earth-set</t>
  </si>
  <si>
    <t>Attachments</t>
  </si>
  <si>
    <t>No attachments</t>
  </si>
  <si>
    <t>Selected: FP internally mounted</t>
  </si>
  <si>
    <t>Selected: FP externally mounted</t>
  </si>
  <si>
    <t>Selected: BP internally mounted</t>
  </si>
  <si>
    <t>Selected: BP externally mounted</t>
  </si>
  <si>
    <t>Selected: BP hinged</t>
  </si>
  <si>
    <t>Selected: BP fixed</t>
  </si>
  <si>
    <t>vertical</t>
  </si>
  <si>
    <t>Pupitre de commande CC-3000</t>
  </si>
  <si>
    <t>Checklist</t>
  </si>
  <si>
    <t>Client</t>
  </si>
  <si>
    <t>Groupe de produit</t>
  </si>
  <si>
    <t>Réf.</t>
  </si>
  <si>
    <t>Addresse</t>
  </si>
  <si>
    <t>N°client</t>
  </si>
  <si>
    <t>Téléphone</t>
  </si>
  <si>
    <t>Target price</t>
  </si>
  <si>
    <t>Secteur d'activité</t>
  </si>
  <si>
    <t>Interlocuteur</t>
  </si>
  <si>
    <t>Service</t>
  </si>
  <si>
    <t>Demande de prix</t>
  </si>
  <si>
    <t>Prix ciblé</t>
  </si>
  <si>
    <t>Quantité</t>
  </si>
  <si>
    <t>Demande</t>
  </si>
  <si>
    <t>N°</t>
  </si>
  <si>
    <t>Besoin annuel</t>
  </si>
  <si>
    <t>Commande</t>
  </si>
  <si>
    <t>Délai</t>
  </si>
  <si>
    <t>Coffret</t>
  </si>
  <si>
    <t>Partie supérieure</t>
  </si>
  <si>
    <t>Partie inférieure</t>
  </si>
  <si>
    <t>devant</t>
  </si>
  <si>
    <t>(se référant toujours au profilé standard)</t>
  </si>
  <si>
    <t>Dim. extérieures du boîtier</t>
  </si>
  <si>
    <t>Panneau arrière fixe:</t>
  </si>
  <si>
    <t>Panneau arrière pivotant:</t>
  </si>
  <si>
    <t>Plaque frontale</t>
  </si>
  <si>
    <t>(plaque fr. montée de l'intérieur)</t>
  </si>
  <si>
    <t>Plaque fr. montée de l'extérieur</t>
  </si>
  <si>
    <t>Design frontal (Choix de profilé de poignée)</t>
  </si>
  <si>
    <t>sans</t>
  </si>
  <si>
    <t>en dessous</t>
  </si>
  <si>
    <t>à gauche+à droite</t>
  </si>
  <si>
    <t>à gauche+à droite+dessous</t>
  </si>
  <si>
    <t>sur chaque côté</t>
  </si>
  <si>
    <t>Coffret SANS profilé de porte</t>
  </si>
  <si>
    <t>extéreure (mm)</t>
  </si>
  <si>
    <t>intérieur</t>
  </si>
  <si>
    <t>extérieur</t>
  </si>
  <si>
    <t>fixe</t>
  </si>
  <si>
    <t>vissé</t>
  </si>
  <si>
    <t>comme porte</t>
  </si>
  <si>
    <t>avec charnières (standard)</t>
  </si>
  <si>
    <t>avec charnières vissées sur panneau arrière</t>
  </si>
  <si>
    <t>Porte</t>
  </si>
  <si>
    <t>avant</t>
  </si>
  <si>
    <t>OU</t>
  </si>
  <si>
    <t>arrière</t>
  </si>
  <si>
    <t>serrures extérieures</t>
  </si>
  <si>
    <t>* FP innen und RW innen</t>
  </si>
  <si>
    <t>* FP innen und RW außen</t>
  </si>
  <si>
    <t>* FP außen und RW innen</t>
  </si>
  <si>
    <t>* FP außen und RW außen</t>
  </si>
  <si>
    <t>* PF intérieure et PA intérieure</t>
  </si>
  <si>
    <t>* PF intérieure et PA extérieur</t>
  </si>
  <si>
    <t>Prof. d'encast. (mm)</t>
  </si>
  <si>
    <t>* PF extérieure et PA extérieur</t>
  </si>
  <si>
    <t>* PF extérieure et PA intérieur</t>
  </si>
  <si>
    <t>Porte avant</t>
  </si>
  <si>
    <t>à gauche</t>
  </si>
  <si>
    <t>ou</t>
  </si>
  <si>
    <t>à droite</t>
  </si>
  <si>
    <t>Porte arrière</t>
  </si>
  <si>
    <t>Verrou</t>
  </si>
  <si>
    <t>4 pans (mm):</t>
  </si>
  <si>
    <t>3 pans (mm):</t>
  </si>
  <si>
    <t>Double panneton (mm):</t>
  </si>
  <si>
    <t>Serrure spéciale/spécification client</t>
  </si>
  <si>
    <t>Poignée sans serrure</t>
  </si>
  <si>
    <t>Poignée avec serrure</t>
  </si>
  <si>
    <t xml:space="preserve">   (sans clé)</t>
  </si>
  <si>
    <t>Poignée E1</t>
  </si>
  <si>
    <t>avec</t>
  </si>
  <si>
    <t>Panneau arrière</t>
  </si>
  <si>
    <t>Pour PF montée de l'INTÉRIEUR: joint et matériel de fixation</t>
  </si>
  <si>
    <t>Pour PF montée de l'EXTÉRIEUR: Joint / Rondelles / Écroux  M5</t>
  </si>
  <si>
    <t>19" accessoires pour le montage (vis et écroux M6)</t>
  </si>
  <si>
    <t>(seulement si l'on a choisi accessoires pour PF montée de l'EXTÉRIEUR)</t>
  </si>
  <si>
    <t>pièces</t>
  </si>
  <si>
    <t>Barre de séparation</t>
  </si>
  <si>
    <t>verticale</t>
  </si>
  <si>
    <t>Quantité:</t>
  </si>
  <si>
    <t>non montée (Standard)</t>
  </si>
  <si>
    <t>montée à droite</t>
  </si>
  <si>
    <t>montée à gauche</t>
  </si>
  <si>
    <t>horizontale</t>
  </si>
  <si>
    <t>montée en haut</t>
  </si>
  <si>
    <t>montée en bas</t>
  </si>
  <si>
    <t>PF séparées</t>
  </si>
  <si>
    <t>(If  plate is not supplied from Bernstein, please select fixing accessories under point 8 )</t>
  </si>
  <si>
    <t>(si la PF ne fait pas partie de la livraison, il faut choisir "accessoires de fixation" au point 8)</t>
  </si>
  <si>
    <t>Largeur x Hauteur</t>
  </si>
  <si>
    <t>1. Pl. de comm.:</t>
  </si>
  <si>
    <t>2. Pl. de comm.:</t>
  </si>
  <si>
    <t>non montée</t>
  </si>
  <si>
    <t>montée de l'INT.</t>
  </si>
  <si>
    <t>montée de l'EXT.</t>
  </si>
  <si>
    <t>Réf. Pl. de comm.</t>
  </si>
  <si>
    <t>Usinage pour système de suspens.</t>
  </si>
  <si>
    <t>Usinage Standard ( à brides 50 / 60 / SL )</t>
  </si>
  <si>
    <t>Couplage incliné</t>
  </si>
  <si>
    <t>Adaptateur d'inclinaison</t>
  </si>
  <si>
    <t>(Seulement profilé 200)</t>
  </si>
  <si>
    <t>Couplage à brides 80</t>
  </si>
  <si>
    <t>Raccord avec pupitre</t>
  </si>
  <si>
    <t xml:space="preserve">Usinage spécial selon spécification client </t>
  </si>
  <si>
    <t>Côté</t>
  </si>
  <si>
    <t>Revêtement de surface</t>
  </si>
  <si>
    <t>Boîtier de base:</t>
  </si>
  <si>
    <t>Porte:</t>
  </si>
  <si>
    <t>anodisé, naturel</t>
  </si>
  <si>
    <t>Equerre/capôt de recouvrem.:</t>
  </si>
  <si>
    <t>RAL 7016</t>
  </si>
  <si>
    <t>Barre de séparation:</t>
  </si>
  <si>
    <t>PF:</t>
  </si>
  <si>
    <t>Réf. PF:</t>
  </si>
  <si>
    <t>PA:</t>
  </si>
  <si>
    <t>Réf. PA:</t>
  </si>
  <si>
    <t>Accessoires, Remarques</t>
  </si>
  <si>
    <t>Spécification client</t>
  </si>
  <si>
    <t>Équipement de série: clés, tresse de terre</t>
  </si>
  <si>
    <t>Annexe ci-joint</t>
  </si>
  <si>
    <t>Poids probable des objets incorporés:</t>
  </si>
  <si>
    <t>Probabile peso dei componenti installati:</t>
  </si>
  <si>
    <t>Frontplattenmaß (e x f):</t>
  </si>
  <si>
    <t>Dim. plaque fontale. (e x f):</t>
  </si>
  <si>
    <t>Front plate dimensions (e x f):</t>
  </si>
  <si>
    <t xml:space="preserve">  (without  key)</t>
  </si>
  <si>
    <t xml:space="preserve">  (senza chiave)</t>
  </si>
  <si>
    <t>RAL7001 Silbergrau</t>
  </si>
  <si>
    <t>Silbergrau</t>
  </si>
  <si>
    <t>RAL7015 Schiefergrau</t>
  </si>
  <si>
    <t>Schiefergrau</t>
  </si>
  <si>
    <t>RAL7016 Anthrazitgrau</t>
  </si>
  <si>
    <t>Anthrazitgrau</t>
  </si>
  <si>
    <t>RAL7035 Lichtgrau</t>
  </si>
  <si>
    <t>RAL7043 Verkehrsgrau B</t>
  </si>
  <si>
    <t>RAL9010 Reinweiss</t>
  </si>
  <si>
    <t>RAL9023 Cremeweiss</t>
  </si>
  <si>
    <t>RAL9005 Tiefschwarz</t>
  </si>
  <si>
    <t>RAL9006 Weissaluminium</t>
  </si>
  <si>
    <t>Nasslacke auf Anfrage...</t>
  </si>
  <si>
    <t>Eckmodul 55 RAL 7016</t>
  </si>
  <si>
    <t>Eckmodul 120 RAL 7016</t>
  </si>
  <si>
    <t>Eckmodul 200 RAL 7016</t>
  </si>
  <si>
    <t>Endkappe rechts RAL 7016</t>
  </si>
  <si>
    <t>Endkappe links RAL 7016</t>
  </si>
  <si>
    <t>Eckkappe RAL 7016</t>
  </si>
  <si>
    <t>Abdeckklammer RAL 7016</t>
  </si>
  <si>
    <t>Rohware</t>
  </si>
  <si>
    <t>Baugruppen RAL 7016</t>
  </si>
  <si>
    <t>HK</t>
  </si>
  <si>
    <r>
      <t xml:space="preserve">lt. OXAION Kalkulation vom 02.11.2004  </t>
    </r>
    <r>
      <rPr>
        <b/>
        <u val="single"/>
        <sz val="12"/>
        <color indexed="12"/>
        <rFont val="Arial"/>
        <family val="2"/>
      </rPr>
      <t>EK-Preis</t>
    </r>
  </si>
  <si>
    <r>
      <t>21.04.2004</t>
    </r>
    <r>
      <rPr>
        <sz val="8"/>
        <color indexed="10"/>
        <rFont val="Arial"/>
        <family val="2"/>
      </rPr>
      <t xml:space="preserve">           HK/m bzw. HK/Stk.</t>
    </r>
  </si>
  <si>
    <r>
      <t>Zubehör Frontplatte</t>
    </r>
    <r>
      <rPr>
        <sz val="10"/>
        <rFont val="Arial"/>
        <family val="2"/>
      </rPr>
      <t xml:space="preserve">  (wenn keine Platte von Bernstein mitgeliefert wird)</t>
    </r>
  </si>
  <si>
    <r>
      <t>Accessories for front plate</t>
    </r>
    <r>
      <rPr>
        <sz val="10"/>
        <rFont val="Arial"/>
        <family val="2"/>
      </rPr>
      <t xml:space="preserve"> (If  front plate is not supplied from Bernstein)</t>
    </r>
  </si>
  <si>
    <r>
      <t>Accessoires Plaque frontale</t>
    </r>
    <r>
      <rPr>
        <sz val="10"/>
        <rFont val="Arial"/>
        <family val="2"/>
      </rPr>
      <t xml:space="preserve">  (si la PF ne faisait pas partie de la livraison)</t>
    </r>
  </si>
  <si>
    <r>
      <t>Accessori piastra frontale</t>
    </r>
    <r>
      <rPr>
        <sz val="10"/>
        <rFont val="Arial"/>
        <family val="2"/>
      </rPr>
      <t xml:space="preserve"> (se la piastra non viene fornita da Bernstein)</t>
    </r>
  </si>
  <si>
    <t>13mm</t>
  </si>
  <si>
    <t>Heigth</t>
  </si>
  <si>
    <t>Hauteur de la barre</t>
  </si>
  <si>
    <t>Component FP</t>
  </si>
  <si>
    <r>
      <t xml:space="preserve">Enclosure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door profile 55</t>
    </r>
  </si>
  <si>
    <r>
      <t xml:space="preserve">Enclosure </t>
    </r>
    <r>
      <rPr>
        <b/>
        <sz val="10"/>
        <rFont val="Arial"/>
        <family val="2"/>
      </rPr>
      <t>WITHOUT</t>
    </r>
    <r>
      <rPr>
        <sz val="10"/>
        <rFont val="Arial"/>
        <family val="2"/>
      </rPr>
      <t xml:space="preserve"> door profile</t>
    </r>
  </si>
  <si>
    <t>Coffret AVEC profilé de porte 55</t>
  </si>
  <si>
    <t>Custodia CON portella 55</t>
  </si>
  <si>
    <t>Dim. piastra frontale (e x f):</t>
  </si>
  <si>
    <t>Back plate dimensions (b x h):</t>
  </si>
  <si>
    <t>Dim. Panneau arrière (b x h):</t>
  </si>
  <si>
    <t>Dim. piastra posteriore (b x h):</t>
  </si>
  <si>
    <t>Rückwandmaß (b x h):</t>
  </si>
  <si>
    <t>Breite x Höhe (B x H):</t>
  </si>
  <si>
    <t>Width x Height (B x H):</t>
  </si>
  <si>
    <t>Largeur x Hauteur (B x H):</t>
  </si>
  <si>
    <t>Larghezza x Altezza (B x H):</t>
  </si>
  <si>
    <t>b x h = B-7 x H-7</t>
  </si>
  <si>
    <t>b x h = B-9 x H-9</t>
  </si>
  <si>
    <t>Fixed back plate:</t>
  </si>
  <si>
    <t>Hinged back plate:</t>
  </si>
  <si>
    <t>Frontplatte: e x f = B - 40 x H - 40</t>
  </si>
  <si>
    <t>Front plate: e x f = B - 40 x H - 40</t>
  </si>
  <si>
    <t>Plaque frontale: e x f = B - 40 x H - 40</t>
  </si>
  <si>
    <t>Piastra frontale: e x f = B - 40 x H - 40</t>
  </si>
  <si>
    <t>Belegungsfläche: B - 54 x H - 54</t>
  </si>
  <si>
    <t>Usable area: B - 54 x H - 54</t>
  </si>
  <si>
    <t>Surface équipable: B - 54 x H - 54</t>
  </si>
  <si>
    <t>Luce libera: B - 54 x H - 54</t>
  </si>
  <si>
    <t>Belegungsfläche: B - 74 x H - 74</t>
  </si>
  <si>
    <t>Usable area: B - 74 x H - 74</t>
  </si>
  <si>
    <t>Surface équipable: B - 74 x H - 74</t>
  </si>
  <si>
    <t>Luce libera: B - 74 x H - 74</t>
  </si>
  <si>
    <t>Gehäusemaß: (B x H)</t>
  </si>
  <si>
    <t>External enclosure dimensions: (B x H)</t>
  </si>
  <si>
    <t>Dimension coffret: (B x H)</t>
  </si>
  <si>
    <t>Dimensioni della custodia: (B x H)</t>
  </si>
  <si>
    <t>(always based on the standard profile)</t>
  </si>
  <si>
    <t>all 4 sides</t>
  </si>
  <si>
    <t>! Attenzione: Utilizzando una maniglia, le dimensioni aumentano di 16,5mm per lato !</t>
  </si>
  <si>
    <t>! Attention: Sur le côté avec profilé de poignée, la dimension extérieure s'aggrandit (chaque fois de + 16,5mm) !</t>
  </si>
  <si>
    <t>! Attention: The external enclosure dimension is increased by 16,5 mm on the side where a grip profile has been selected !</t>
  </si>
  <si>
    <t>Profondeur coffret:</t>
  </si>
  <si>
    <t>Profondeur d'encast.(mm)</t>
  </si>
  <si>
    <t>Position of front plate:</t>
  </si>
  <si>
    <t>Position de la plaque frontale:</t>
  </si>
  <si>
    <t>Position of back plate:</t>
  </si>
  <si>
    <t>Position du panneau arriére:</t>
  </si>
  <si>
    <t>* FP  = Frontplatte</t>
  </si>
  <si>
    <t>RW = Rückwand</t>
  </si>
  <si>
    <t>* FP  = Front plate</t>
  </si>
  <si>
    <t>BP = Back plate</t>
  </si>
  <si>
    <t>* PF  = Plaque fontale</t>
  </si>
  <si>
    <t>PA = Panneau arrière</t>
  </si>
  <si>
    <t>* PF  = Piastra fontale</t>
  </si>
  <si>
    <t>PP = Piastra posteriore</t>
  </si>
  <si>
    <t>Sans annexe</t>
  </si>
  <si>
    <t>kg</t>
  </si>
  <si>
    <t>X</t>
  </si>
  <si>
    <t>(Standard)</t>
  </si>
  <si>
    <t>O</t>
  </si>
  <si>
    <t>U</t>
  </si>
  <si>
    <t>Standard</t>
  </si>
  <si>
    <t>Frontplatte</t>
  </si>
  <si>
    <t>keine</t>
  </si>
  <si>
    <t>Rückwand</t>
  </si>
  <si>
    <t>Bestellblatt CC-4000 Art. Nr.: 9057165000 (V5, 01/03 E.S), Seite 1/2</t>
  </si>
  <si>
    <t>E1</t>
  </si>
  <si>
    <t>Gehäuse CC-3000</t>
  </si>
  <si>
    <t>Checkliste</t>
  </si>
  <si>
    <t>Kunde</t>
  </si>
  <si>
    <t>Anschrift</t>
  </si>
  <si>
    <t>Telefon</t>
  </si>
  <si>
    <t>Ansprechpartner</t>
  </si>
  <si>
    <t>Produktgruppe</t>
  </si>
  <si>
    <t>Code</t>
  </si>
  <si>
    <t>Artikel-Nr.</t>
  </si>
  <si>
    <t>Kunden-Nr</t>
  </si>
  <si>
    <t>Branche</t>
  </si>
  <si>
    <t>Telefax</t>
  </si>
  <si>
    <t>Abteilung</t>
  </si>
  <si>
    <t>Zielpreis</t>
  </si>
  <si>
    <t>Jahresbedarf</t>
  </si>
  <si>
    <t>Stückzahl</t>
  </si>
  <si>
    <t>Liefertermin</t>
  </si>
  <si>
    <t>Anfrage zur Preisorientierung</t>
  </si>
  <si>
    <t>Anfrage</t>
  </si>
  <si>
    <t>Auftrag</t>
  </si>
  <si>
    <t>Anfrage-Nr.</t>
  </si>
  <si>
    <t>Pultgehäuse, Oberteil</t>
  </si>
  <si>
    <t>Pultgehäuse, Unterteil</t>
  </si>
  <si>
    <t>vorne</t>
  </si>
  <si>
    <t>Voraussichtliches Einbaugewicht:</t>
  </si>
  <si>
    <t>Gehäuse</t>
  </si>
  <si>
    <t>Abmessungen (mm)</t>
  </si>
  <si>
    <t>Trennsteg</t>
  </si>
  <si>
    <t>senkrecht</t>
  </si>
  <si>
    <t>Anzahl:</t>
  </si>
  <si>
    <t>waagerecht</t>
  </si>
  <si>
    <t>rechts montiert</t>
  </si>
  <si>
    <t>links montiert</t>
  </si>
  <si>
    <t>unten montiert</t>
  </si>
  <si>
    <t>oben montiert</t>
  </si>
  <si>
    <t>Für INNEN montierte Platten: Dichtband und Befestigungsmaterial</t>
  </si>
  <si>
    <t>Für AUSSEN montierte Platten: Dichtband / Scheiben / Muttern  M5</t>
  </si>
  <si>
    <t>Knebel ohne Schloss</t>
  </si>
  <si>
    <t>Sonderverschluss/Kundenwunsch</t>
  </si>
  <si>
    <t>Vierkant (mm):</t>
  </si>
  <si>
    <t>Dreikant (mm):</t>
  </si>
  <si>
    <t>Doppelbart (mm):</t>
  </si>
  <si>
    <t>Daimler Benz:</t>
  </si>
  <si>
    <t>Bearbeitung für Tragsystem</t>
  </si>
  <si>
    <t>Oberflächenbeschichtung</t>
  </si>
  <si>
    <t>eloxiert, natur</t>
  </si>
  <si>
    <t>Grundkörper Profile:</t>
  </si>
  <si>
    <t>Tür Profile</t>
  </si>
  <si>
    <t>Trennsteg:</t>
  </si>
  <si>
    <t>Frontplatten:</t>
  </si>
  <si>
    <t>Rückwände:</t>
  </si>
  <si>
    <t>Kundenausführung</t>
  </si>
  <si>
    <t>Zubehör, Anmerkung</t>
  </si>
  <si>
    <t>Im Lieferumfang enthalten: Schlüssel und Erdungsset</t>
  </si>
  <si>
    <t>Anlagen</t>
  </si>
  <si>
    <t>keine Anlagen</t>
  </si>
  <si>
    <t>Vkf.</t>
  </si>
  <si>
    <t>TA</t>
  </si>
  <si>
    <t>AV</t>
  </si>
  <si>
    <t>e x f = B-40x  H -40</t>
  </si>
  <si>
    <t>Gehäuseaussenmaß</t>
  </si>
  <si>
    <t>Frontdesign (Auswahl Griffprofile)</t>
  </si>
  <si>
    <t>ohne</t>
  </si>
  <si>
    <t>unten</t>
  </si>
  <si>
    <t>links + rechts</t>
  </si>
  <si>
    <t>links + rechts + unten</t>
  </si>
  <si>
    <t>umlaufend</t>
  </si>
  <si>
    <t>(immer bezogen auf das Standardprofil)</t>
  </si>
  <si>
    <t>120 mm</t>
  </si>
  <si>
    <t>200 mm</t>
  </si>
  <si>
    <t>Lage der Frontplatte:</t>
  </si>
  <si>
    <t>Einbautiefe (mm)</t>
  </si>
  <si>
    <t>oder</t>
  </si>
  <si>
    <t>schwenkbar</t>
  </si>
  <si>
    <t>innen</t>
  </si>
  <si>
    <t>außen</t>
  </si>
  <si>
    <t>103 mm</t>
  </si>
  <si>
    <t>111 mm</t>
  </si>
  <si>
    <t>183mm</t>
  </si>
  <si>
    <t>191 mm</t>
  </si>
  <si>
    <t>Tür</t>
  </si>
  <si>
    <t>hinten</t>
  </si>
  <si>
    <t>Türanschlag vorne</t>
  </si>
  <si>
    <t>Türanschlag hinten</t>
  </si>
  <si>
    <t>Seite:</t>
  </si>
  <si>
    <t>Pultverbinder</t>
  </si>
  <si>
    <t>Flanschkupplung 80</t>
  </si>
  <si>
    <t>Neigungsadapter</t>
  </si>
  <si>
    <t>(Nur Profil 200)</t>
  </si>
  <si>
    <t>Verschluss</t>
  </si>
  <si>
    <t>! Achtung: An der Seite wo ein Griffprofil gewählt wird, vergrößert sich das Gehäuseaußenmaß jeweils um 16,5mm !</t>
  </si>
  <si>
    <t>Knebel mit Schloss</t>
  </si>
  <si>
    <t>6,5  (CNOMO)</t>
  </si>
  <si>
    <t>Knebel E1</t>
  </si>
  <si>
    <t>1. Bedienplatte:</t>
  </si>
  <si>
    <t>2. Bedienplatte:</t>
  </si>
  <si>
    <t>Breite x Höhe</t>
  </si>
  <si>
    <t>Rechts</t>
  </si>
  <si>
    <t>Links</t>
  </si>
  <si>
    <t xml:space="preserve">   (ohne Schlüssel)</t>
  </si>
  <si>
    <t>natur eloxiert</t>
  </si>
  <si>
    <t>Eckmodule /Abschlußkappen</t>
  </si>
  <si>
    <t>unmontiert</t>
  </si>
  <si>
    <t>INNEN montiert</t>
  </si>
  <si>
    <t>AUSSEN montiert</t>
  </si>
  <si>
    <t>deutsch</t>
  </si>
  <si>
    <t>englich</t>
  </si>
  <si>
    <t>französich</t>
  </si>
  <si>
    <t>italienisch</t>
  </si>
  <si>
    <t>Artikelnummer</t>
  </si>
  <si>
    <t>Kundennummer</t>
  </si>
  <si>
    <r>
      <t xml:space="preserve">Stückzahl </t>
    </r>
    <r>
      <rPr>
        <b/>
        <sz val="10"/>
        <rFont val="Arial"/>
        <family val="2"/>
      </rPr>
      <t>1</t>
    </r>
  </si>
  <si>
    <r>
      <t xml:space="preserve">Stückzahl </t>
    </r>
    <r>
      <rPr>
        <b/>
        <sz val="10"/>
        <rFont val="Arial"/>
        <family val="2"/>
      </rPr>
      <t>2</t>
    </r>
  </si>
  <si>
    <t>Anfragenummer</t>
  </si>
  <si>
    <t>Allgemeine Daten</t>
  </si>
  <si>
    <t>1 Gehäuse</t>
  </si>
  <si>
    <t>POT</t>
  </si>
  <si>
    <t>PUT</t>
  </si>
  <si>
    <t>Einbaugewicht</t>
  </si>
  <si>
    <t>2 Abmessungen</t>
  </si>
  <si>
    <t>Aussenmaß BREITE</t>
  </si>
  <si>
    <t>Aussenmaß HÖHE</t>
  </si>
  <si>
    <t>FP BREITE</t>
  </si>
  <si>
    <t>FP HÖHE</t>
  </si>
  <si>
    <t>RW BREITE</t>
  </si>
  <si>
    <t>RW HÖHE</t>
  </si>
  <si>
    <t>3 Frontdesign Auswahl Griffprofil</t>
  </si>
  <si>
    <t>links und rechts</t>
  </si>
  <si>
    <t>links und rechts und unten</t>
  </si>
  <si>
    <t>4 Gehäuse ohne Türprofil</t>
  </si>
  <si>
    <t>Tiefe 120</t>
  </si>
  <si>
    <t>Tiefe 200</t>
  </si>
  <si>
    <t>120 FP innen</t>
  </si>
  <si>
    <t>120 FP aussen</t>
  </si>
  <si>
    <t>200 FP innen</t>
  </si>
  <si>
    <t>200 FP aussen</t>
  </si>
  <si>
    <t>5 Gehäuse mit Türprofil</t>
  </si>
  <si>
    <t>175 Tür vorne</t>
  </si>
  <si>
    <t>175 FP/RW   innen/innen</t>
  </si>
  <si>
    <t>175 FP/RW   aussen/innen</t>
  </si>
  <si>
    <t>175 FP/RW   aussen/aussen</t>
  </si>
  <si>
    <t>255 Tür vorne</t>
  </si>
  <si>
    <t>255 FP/RW   innen/innen</t>
  </si>
  <si>
    <t>255 FP/RW   aussen/innen</t>
  </si>
  <si>
    <t>255 FP/RW   aussen/aussen</t>
  </si>
  <si>
    <t>175 FP/RW   innen/aussen</t>
  </si>
  <si>
    <t>255 FP/RW   innen/aussen</t>
  </si>
  <si>
    <t>Türanschlag vorne LINKS</t>
  </si>
  <si>
    <t>6 Türanschlag</t>
  </si>
  <si>
    <t>Türanschlag hinten LINKS</t>
  </si>
  <si>
    <t>Türanschlag hinten RECHTS</t>
  </si>
  <si>
    <t>Türanschlag vorne RECHTS</t>
  </si>
  <si>
    <t>7 Verschluss</t>
  </si>
  <si>
    <t>Vierkant 6mm</t>
  </si>
  <si>
    <t>Vierkant 7mm</t>
  </si>
  <si>
    <t>Dreikant 7mm</t>
  </si>
  <si>
    <t>Dreikant 8mm</t>
  </si>
  <si>
    <t>Doppelbart 3mm</t>
  </si>
  <si>
    <t>Doppelbart 5mm</t>
  </si>
  <si>
    <t>Daimler Benz</t>
  </si>
  <si>
    <t>Sonderverschluß n.Kd.W.</t>
  </si>
  <si>
    <t>Knebel ohne Schloß</t>
  </si>
  <si>
    <t>Knebel mit Schloß</t>
  </si>
  <si>
    <t>Dreikant 6,5mm CNOMO</t>
  </si>
  <si>
    <t>Vierkant 8mm Standard</t>
  </si>
  <si>
    <t>8 Frontplatte</t>
  </si>
  <si>
    <t>Zubehör von innen</t>
  </si>
  <si>
    <t>Zubehör von aussen</t>
  </si>
  <si>
    <t>9 Rückwand</t>
  </si>
  <si>
    <t>verschraubt</t>
  </si>
  <si>
    <t>schwenk. Std.Scharnier</t>
  </si>
  <si>
    <t>schwenk. verschr. RW Gelenk</t>
  </si>
  <si>
    <t>10 Trennsteg</t>
  </si>
  <si>
    <t>senkrecht UNMONTIERT</t>
  </si>
  <si>
    <t>senkrecht RECHTS montiert</t>
  </si>
  <si>
    <t>senkrecht LINKS montiert</t>
  </si>
  <si>
    <t>senkrecht Anzahl</t>
  </si>
  <si>
    <t>waagerecht UNMONTIERT</t>
  </si>
  <si>
    <t>waagerecht Anzahl</t>
  </si>
  <si>
    <t>11 Bedienplatten</t>
  </si>
  <si>
    <t>Breite</t>
  </si>
  <si>
    <t>Höhe</t>
  </si>
  <si>
    <t>AUSSEN montiet</t>
  </si>
  <si>
    <t>12 Tragsystem</t>
  </si>
  <si>
    <t>Standardbearbeitung ( Flansch 50 / 60 / SL )</t>
  </si>
  <si>
    <t>Drehneigungskupplung</t>
  </si>
  <si>
    <t>Sonderbearbeitung n. Kundenwunsch (s.u.)</t>
  </si>
  <si>
    <t>Standardbearbeitung</t>
  </si>
  <si>
    <t>DNK</t>
  </si>
  <si>
    <t>Flansch 80</t>
  </si>
  <si>
    <t>Sonderbearbeitung</t>
  </si>
  <si>
    <t>KEIN</t>
  </si>
  <si>
    <t>Seite OBEN</t>
  </si>
  <si>
    <t>Seite UNTEN</t>
  </si>
  <si>
    <t>13 Oberflächenbeschichtung</t>
  </si>
  <si>
    <t>Tür natur eloxiert</t>
  </si>
  <si>
    <t>Grundkörper natur eloxiert</t>
  </si>
  <si>
    <t>Grundkörper kundenspezifisch</t>
  </si>
  <si>
    <t>Frontplatte natur eloxiert</t>
  </si>
  <si>
    <t>Ecken RAL 7016 gepulvert</t>
  </si>
  <si>
    <t>Tür kundenspezifisch</t>
  </si>
  <si>
    <t>Ecken kundenspezifisch</t>
  </si>
  <si>
    <t>Trennsteg natur eloxiert</t>
  </si>
  <si>
    <t>Trennsteg kundenspezifisch</t>
  </si>
  <si>
    <t>Rückwand natur eloxiert</t>
  </si>
  <si>
    <t>Eintrag:</t>
  </si>
  <si>
    <t>14 Zubehör / Anmerkungen</t>
  </si>
  <si>
    <t>VKF Datum</t>
  </si>
  <si>
    <t>VKF Name</t>
  </si>
  <si>
    <t>TA Datum</t>
  </si>
  <si>
    <t>TA Name</t>
  </si>
  <si>
    <t>AV Name</t>
  </si>
  <si>
    <t>AV Datum</t>
  </si>
  <si>
    <t>Artikel Nummer</t>
  </si>
  <si>
    <t>Bezeichnung</t>
  </si>
  <si>
    <t>Einheit</t>
  </si>
  <si>
    <t>Kommentar</t>
  </si>
  <si>
    <t>Gewicht [g]</t>
  </si>
  <si>
    <t>Lichtgrau</t>
  </si>
  <si>
    <t>Verkehrsgrau B</t>
  </si>
  <si>
    <t>Cremeweiss</t>
  </si>
  <si>
    <t>Tiefschwarz</t>
  </si>
  <si>
    <t>Weißaluminium</t>
  </si>
  <si>
    <t>Reinweiss</t>
  </si>
  <si>
    <t>Profil 55</t>
  </si>
  <si>
    <t>Profil 120</t>
  </si>
  <si>
    <t>Profil 200</t>
  </si>
  <si>
    <t>Griffprofil 55</t>
  </si>
  <si>
    <t>Griffprofil 120</t>
  </si>
  <si>
    <t>Griffprofil 200</t>
  </si>
  <si>
    <t>Eckmodul 55</t>
  </si>
  <si>
    <t>St</t>
  </si>
  <si>
    <t>Eckmodul 120</t>
  </si>
  <si>
    <t>Eckmodul 200</t>
  </si>
  <si>
    <t>Endkappe rechts</t>
  </si>
  <si>
    <t>Endkappe links</t>
  </si>
  <si>
    <t>Eckkappe</t>
  </si>
  <si>
    <t>Abdeckklammer</t>
  </si>
  <si>
    <t>Dichtung 55 GP</t>
  </si>
  <si>
    <t>Dichtung 120 GP</t>
  </si>
  <si>
    <t>Dichtung 200 GP</t>
  </si>
  <si>
    <t>Dichtung 200 P</t>
  </si>
  <si>
    <t>Dichtung 120 P</t>
  </si>
  <si>
    <t>Dichtung 55 P</t>
  </si>
  <si>
    <t>für Griffprofil</t>
  </si>
  <si>
    <t>für Standardprofil</t>
  </si>
  <si>
    <t>TORX Schraube M6x30</t>
  </si>
  <si>
    <t>Für die Eckmodule</t>
  </si>
  <si>
    <t>Für die verschraubte RW</t>
  </si>
  <si>
    <t>Klemmriegel</t>
  </si>
  <si>
    <t>Käfigmutter M4</t>
  </si>
  <si>
    <t>Käfigmutter M5</t>
  </si>
  <si>
    <t>Käfigmutter M6</t>
  </si>
  <si>
    <t>Für FP</t>
  </si>
  <si>
    <t>Federmutter M4</t>
  </si>
  <si>
    <t>19"</t>
  </si>
  <si>
    <t>Für Klemmriegel</t>
  </si>
  <si>
    <t>U-Scheibe 5,4/15</t>
  </si>
  <si>
    <t>Federring A5</t>
  </si>
  <si>
    <t>Skt. Mutter M5</t>
  </si>
  <si>
    <t>Für Klemmriegel FP aussen</t>
  </si>
  <si>
    <t>Anschraubscharnier 40x40</t>
  </si>
  <si>
    <t>verschr. RW-Gelenk</t>
  </si>
  <si>
    <t>Senkschr. M4x8</t>
  </si>
  <si>
    <t>Gewindestift M4x6</t>
  </si>
  <si>
    <t>Neues verschraubtes Rückwand Gelenk</t>
  </si>
  <si>
    <t>Standard Scharnier RW schwenk.</t>
  </si>
  <si>
    <t>Für Tür</t>
  </si>
  <si>
    <t>Dorn-Vierkant 6</t>
  </si>
  <si>
    <t>Dorn-Vierkant 7</t>
  </si>
  <si>
    <t>Dorn-Vierkant 8</t>
  </si>
  <si>
    <t>Dorn-Dreikant 7</t>
  </si>
  <si>
    <t>Dorn-Dreikant 8</t>
  </si>
  <si>
    <t>Dorn-Doppelbart 3</t>
  </si>
  <si>
    <t>Dorn-Doppelbart 5</t>
  </si>
  <si>
    <t>Dorn-Daimler Benz</t>
  </si>
  <si>
    <t>Dorn-CNOMO 6,5</t>
  </si>
  <si>
    <t>Flachdichtung Schloß</t>
  </si>
  <si>
    <t>Schloßkörper m.Mutter</t>
  </si>
  <si>
    <t>O-Ring Schloß</t>
  </si>
  <si>
    <t>VorreiberZunge RWs</t>
  </si>
  <si>
    <t>NEU H18x35 kurze Version</t>
  </si>
  <si>
    <t>Schloßzubehör</t>
  </si>
  <si>
    <t>Knebel m. Schloß kpl.</t>
  </si>
  <si>
    <t>Knebel ohne Schl. Kpl.</t>
  </si>
  <si>
    <t>E1-Schloß Dirak kpl.</t>
  </si>
  <si>
    <t>Knebel E1 Dirak kpl.</t>
  </si>
  <si>
    <t>Komplettschlösser, kein Schloßkörper usw. nötig</t>
  </si>
  <si>
    <t>Schlüssel 4-knt 6</t>
  </si>
  <si>
    <t>Schlüssel 4-knt 7</t>
  </si>
  <si>
    <t>Schlüssel 4-knt 8</t>
  </si>
  <si>
    <t>Schlüssel 3-knt 7</t>
  </si>
  <si>
    <t>Schlüssel 3-knt 8</t>
  </si>
  <si>
    <t>Schlüssel D.Bart 3</t>
  </si>
  <si>
    <t>Schlüssel D.Bart 5</t>
  </si>
  <si>
    <t>Schlüssel Daimler</t>
  </si>
  <si>
    <t>Schlüssel CNOMO</t>
  </si>
  <si>
    <t>Verschlußhaken Tür</t>
  </si>
  <si>
    <t>Rollenaufnahme mont.</t>
  </si>
  <si>
    <t>Iskt.Schr.M5x10</t>
  </si>
  <si>
    <t>Scheibe B5,3</t>
  </si>
  <si>
    <t>Federmutter M5</t>
  </si>
  <si>
    <t>Rollenaufnahme inkl.Befestigungszubehör (für Tür)</t>
  </si>
  <si>
    <t>Türheber</t>
  </si>
  <si>
    <t>Trennsteg P</t>
  </si>
  <si>
    <t>Trennsteg GP</t>
  </si>
  <si>
    <t>Verbinderblech f.Trennsteg</t>
  </si>
  <si>
    <t>Kontaktscheibe M5</t>
  </si>
  <si>
    <t>Kontaktscheibe M4</t>
  </si>
  <si>
    <t>Kontaktscheibe M6</t>
  </si>
  <si>
    <t>Mont.Anleitung Trennsteg</t>
  </si>
  <si>
    <t>Dichtung f. Trennsteg</t>
  </si>
  <si>
    <t>Dichtband 6x2 schwarz</t>
  </si>
  <si>
    <t>Rundschnur 5mm</t>
  </si>
  <si>
    <t>Für FP von aussen</t>
  </si>
  <si>
    <t>Für Tür und FP von innen</t>
  </si>
  <si>
    <t>Kontaktscheibe M3</t>
  </si>
  <si>
    <t>Dichtband 10x2 sw</t>
  </si>
  <si>
    <t>Keine</t>
  </si>
  <si>
    <t>Montagewinkel klein</t>
  </si>
  <si>
    <t>Montagewinkel groß</t>
  </si>
  <si>
    <t>4 St. Im Set</t>
  </si>
  <si>
    <t>Erdungsset FP innen</t>
  </si>
  <si>
    <t>Erdungsset RW schw.</t>
  </si>
  <si>
    <t>Erdungsset FP aussen/Tür</t>
  </si>
  <si>
    <t>19" Montageset</t>
  </si>
  <si>
    <t>Artikel Nr. FP:</t>
  </si>
  <si>
    <t>Artikel Nr. RW:</t>
  </si>
  <si>
    <t>Artikel Nummer RW:</t>
  </si>
  <si>
    <t>Artikel Nummer FP:</t>
  </si>
  <si>
    <t>Federmutter Set M4</t>
  </si>
  <si>
    <t>Federmutter Set M5</t>
  </si>
  <si>
    <t>10 Stück im Set</t>
  </si>
  <si>
    <t>Pultverbinder fest unlack.</t>
  </si>
  <si>
    <t>Flachdichtung Pult</t>
  </si>
  <si>
    <t>0</t>
  </si>
  <si>
    <t>Iskt.Schr.M6x16</t>
  </si>
  <si>
    <t>Federring 6mm</t>
  </si>
  <si>
    <t>Kabelschutzring 80</t>
  </si>
  <si>
    <t>Kabelschutzring 53</t>
  </si>
  <si>
    <t>Art.-Nr.:</t>
  </si>
  <si>
    <t>Nur zur Information !</t>
  </si>
  <si>
    <t>Original 1</t>
  </si>
  <si>
    <t>Gehäusegewicht:</t>
  </si>
  <si>
    <t>g</t>
  </si>
  <si>
    <t>Tiefe</t>
  </si>
  <si>
    <t>ME-Gewicht:</t>
  </si>
  <si>
    <t>Art.-Nr.</t>
  </si>
  <si>
    <t>CC-3000 Stückliste</t>
  </si>
  <si>
    <t>Menge</t>
  </si>
  <si>
    <t>Art. Nr.</t>
  </si>
  <si>
    <t>Bauteil</t>
  </si>
  <si>
    <t>Σ Gewicht</t>
  </si>
  <si>
    <t>Gewicht/m</t>
  </si>
  <si>
    <t>[g]</t>
  </si>
  <si>
    <t>[mm]</t>
  </si>
  <si>
    <t>L</t>
  </si>
  <si>
    <t>R</t>
  </si>
  <si>
    <t>Auswahl   hinten</t>
  </si>
  <si>
    <t>Auswahl   vorne</t>
  </si>
  <si>
    <t>Säge-Breite</t>
  </si>
  <si>
    <t>Säge-Höhe</t>
  </si>
  <si>
    <t>Σ Länge-ΣStück</t>
  </si>
  <si>
    <t>[mm]-[St]</t>
  </si>
  <si>
    <t>ME gesamt=</t>
  </si>
  <si>
    <t>Stüliwerte</t>
  </si>
  <si>
    <t>mm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</si>
  <si>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</si>
  <si>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</si>
  <si>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</si>
  <si>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</si>
  <si>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</si>
  <si>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</si>
  <si>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</si>
  <si>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</si>
  <si>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</si>
  <si>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</si>
  <si>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</si>
  <si>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</si>
  <si>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</si>
  <si>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</si>
  <si>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</si>
  <si>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</si>
  <si>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</si>
  <si>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</si>
  <si>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</si>
  <si>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</si>
  <si>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</si>
  <si>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</si>
  <si>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</si>
  <si>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</si>
  <si>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</si>
  <si>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</si>
  <si>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</si>
  <si>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</si>
  <si>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</si>
  <si>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</si>
  <si>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</si>
  <si>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</si>
  <si>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</si>
  <si>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</si>
  <si>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</si>
  <si>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</si>
  <si>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</si>
  <si>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</si>
  <si>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</si>
  <si>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</si>
  <si>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</si>
  <si>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</si>
  <si>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</si>
  <si>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</si>
  <si>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</si>
  <si>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</si>
  <si>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</si>
  <si>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</si>
  <si>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</si>
  <si>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</si>
  <si>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</si>
  <si>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</si>
  <si>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</si>
  <si>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</si>
  <si>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</si>
  <si>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</si>
  <si>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</si>
  <si>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</si>
  <si>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</si>
  <si>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</si>
  <si>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</si>
  <si>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</si>
  <si>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</si>
  <si>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</si>
  <si>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</si>
  <si>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</si>
  <si>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</si>
  <si>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</si>
  <si>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</si>
  <si>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</si>
  <si>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</si>
  <si>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</si>
  <si>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</si>
  <si>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</si>
  <si>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</si>
  <si>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</si>
  <si>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</si>
  <si>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</si>
  <si>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</si>
  <si>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</si>
  <si>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</si>
  <si>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</si>
  <si>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</si>
  <si>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</si>
  <si>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</si>
  <si>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</si>
  <si>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</si>
  <si>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</si>
  <si>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</si>
  <si>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</si>
  <si>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</si>
  <si>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</si>
  <si>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</si>
  <si>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</si>
  <si>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</si>
  <si>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</si>
  <si>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</si>
  <si>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</si>
  <si>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</si>
  <si>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</si>
  <si>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</si>
  <si>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</si>
  <si>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</si>
  <si>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</si>
  <si>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</si>
  <si>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</si>
  <si>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</si>
  <si>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</si>
  <si>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</si>
  <si>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</si>
  <si>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</si>
  <si>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</si>
  <si>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</si>
  <si>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</si>
  <si>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</si>
  <si>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</si>
  <si>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Wieviel FP Befestigung?</t>
  </si>
  <si>
    <t>Federmutter</t>
  </si>
  <si>
    <t>Schraube</t>
  </si>
  <si>
    <t>Scheibe M5</t>
  </si>
  <si>
    <t>Federring M5</t>
  </si>
  <si>
    <t>Mutter M5</t>
  </si>
  <si>
    <t>Abstand Klemmr.</t>
  </si>
  <si>
    <t>waagerecht UNTEN montiert</t>
  </si>
  <si>
    <t>waagerecht OBEN montiert</t>
  </si>
  <si>
    <t>Klemmriegel innen</t>
  </si>
  <si>
    <t>Klemmriegel außen</t>
  </si>
  <si>
    <t>s</t>
  </si>
  <si>
    <t>w</t>
  </si>
  <si>
    <t>Bestellblatt CC-3000  Art. Nr.: 9057186000 (V21, 01/05), Seite 1/2</t>
  </si>
  <si>
    <t>Bestellblatt CC-3000  Art. Nr.: 9057186000 (V21, 01/05), Seite 2/2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</si>
</sst>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* #,##0_-;\-* #,##0_-;_-* &quot;-&quot;_-;_-@_-"/>
    <numFmt numFmtId="178" formatCode="_-&quot;L.&quot;\ * #,##0.00_-;\-&quot;L.&quot;\ * #,##0.00_-;_-&quot;L.&quot;\ * &quot;-&quot;??_-;_-@_-"/>
    <numFmt numFmtId="179" formatCode="_-* #,##0.00_-;\-* #,##0.00_-;_-* &quot;-&quot;??_-;_-@_-"/>
    <numFmt numFmtId="180" formatCode="0;0;"/>
    <numFmt numFmtId="181" formatCode="0.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0.000"/>
    <numFmt numFmtId="187" formatCode="#,##0\ [$€-1];[Red]\-#,##0\ [$€-1]"/>
    <numFmt numFmtId="188" formatCode="#,##0.00\ [$€-1]"/>
    <numFmt numFmtId="189" formatCode="_-* #,##0.00\ [$€-1]_-;\-* #,##0.00\ [$€-1]_-;_-* &quot;-&quot;??\ [$€-1]_-"/>
    <numFmt numFmtId="190" formatCode="_-* #,##0.00\ [$€-1]_-;\-* #,##0.00\ [$€-1]_-;_-* &quot;-&quot;??\ [$€-1]_-;_-@_-"/>
    <numFmt numFmtId="191" formatCode="_-* #,##0\ [$€-1]_-;\-* #,##0\ [$€-1]_-;_-* &quot;-&quot;??\ [$€-1]_-"/>
    <numFmt numFmtId="192" formatCode="#,##0\ &quot;DM&quot;"/>
    <numFmt numFmtId="193" formatCode="mmmm\ yy"/>
    <numFmt numFmtId="194" formatCode="dd\-mmm\-yy"/>
    <numFmt numFmtId="195" formatCode="_-* #,##0.000\ _D_M_-;\-* #,##0.000\ _D_M_-;_-* &quot;-&quot;??\ _D_M_-;_-@_-"/>
    <numFmt numFmtId="196" formatCode="_-* #,##0.0\ _D_M_-;\-* #,##0.0\ _D_M_-;_-* &quot;-&quot;??\ _D_M_-;_-@_-"/>
    <numFmt numFmtId="197" formatCode="_-* #,##0\ _D_M_-;\-* #,##0\ _D_M_-;_-* &quot;-&quot;??\ _D_M_-;_-@_-"/>
    <numFmt numFmtId="198" formatCode="0.0000"/>
    <numFmt numFmtId="199" formatCode="0.0%"/>
    <numFmt numFmtId="200" formatCode="0.000%"/>
    <numFmt numFmtId="201" formatCode="0.000000"/>
    <numFmt numFmtId="202" formatCode="0.00000"/>
    <numFmt numFmtId="203" formatCode="0.0000000"/>
    <numFmt numFmtId="204" formatCode="dd/\ mmm\ yyyy"/>
    <numFmt numFmtId="205" formatCode="dd/\ mm/\ yyyy"/>
    <numFmt numFmtId="206" formatCode="#,##0.000\ [$€-1]"/>
    <numFmt numFmtId="207" formatCode="#,##0.0000\ [$€-1]"/>
    <numFmt numFmtId="208" formatCode="d/\ mmm/\ yy"/>
    <numFmt numFmtId="209" formatCode="#,##0.00_ ;\-#,##0.00\ "/>
    <numFmt numFmtId="210" formatCode="0.0000000000"/>
    <numFmt numFmtId="211" formatCode="0.00000000000"/>
    <numFmt numFmtId="212" formatCode="0.000000000"/>
    <numFmt numFmtId="213" formatCode="0.00000000"/>
    <numFmt numFmtId="214" formatCode="d/\ mmmm\ yyyy"/>
    <numFmt numFmtId="215" formatCode="&quot;€&quot;\ #,##0;\-&quot;€&quot;\ #,##0"/>
    <numFmt numFmtId="216" formatCode="&quot;€&quot;\ #,##0;[Red]\-&quot;€&quot;\ #,##0"/>
    <numFmt numFmtId="217" formatCode="&quot;€&quot;\ #,##0.00;\-&quot;€&quot;\ #,##0.00"/>
    <numFmt numFmtId="218" formatCode="&quot;€&quot;\ #,##0.00;[Red]\-&quot;€&quot;\ #,##0.00"/>
    <numFmt numFmtId="219" formatCode="_-&quot;€&quot;\ * #,##0_-;\-&quot;€&quot;\ * #,##0_-;_-&quot;€&quot;\ * &quot;-&quot;_-;_-@_-"/>
    <numFmt numFmtId="220" formatCode="_-&quot;€&quot;\ * #,##0.00_-;\-&quot;€&quot;\ * #,##0.00_-;_-&quot;€&quot;\ * &quot;-&quot;??_-;_-@_-"/>
    <numFmt numFmtId="221" formatCode="#,##0.00\ [$€-1];\-#,##0.00\ [$€-1]"/>
    <numFmt numFmtId="222" formatCode="_-* #,##0.000\ [$€-1]_-;\-* #,##0.000\ [$€-1]_-;_-* &quot;-&quot;???\ [$€-1]_-;_-@_-"/>
    <numFmt numFmtId="223" formatCode="_-* #,##0.00\ [$€-1]_-;\-* #,##0.00\ [$€-1]_-;_-* &quot;-&quot;???\ [$€-1]_-;_-@_-"/>
    <numFmt numFmtId="224" formatCode="#,##0.00\ &quot;€&quot;"/>
    <numFmt numFmtId="225" formatCode="#,##0\ [$€-1]"/>
    <numFmt numFmtId="226" formatCode="#,##0.0\ [$€-1]"/>
  </numFmts>
  <fonts count="41">
    <font>
      <sz val="10"/>
      <name val="Arial"/>
      <family val="0"/>
    </font>
    <font>
      <b/>
      <sz val="14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2"/>
    </font>
    <font>
      <sz val="8"/>
      <color indexed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color indexed="10"/>
      <name val="Arial"/>
      <family val="2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2"/>
      <name val="Arial"/>
      <family val="0"/>
    </font>
    <font>
      <b/>
      <sz val="10"/>
      <name val="Tahoma"/>
      <family val="2"/>
    </font>
    <font>
      <sz val="11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21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u val="single"/>
      <sz val="12"/>
      <color indexed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9"/>
      <color indexed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26"/>
      </patternFill>
    </fill>
    <fill>
      <patternFill patternType="gray0625">
        <bgColor indexed="47"/>
      </patternFill>
    </fill>
    <fill>
      <patternFill patternType="gray0625">
        <bgColor indexed="51"/>
      </patternFill>
    </fill>
    <fill>
      <patternFill patternType="gray0625">
        <bgColor indexed="41"/>
      </patternFill>
    </fill>
    <fill>
      <patternFill patternType="gray0625">
        <bgColor indexed="42"/>
      </patternFill>
    </fill>
    <fill>
      <patternFill patternType="gray0625"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9" fillId="0" borderId="0" xfId="19" applyAlignment="1">
      <alignment/>
    </xf>
    <xf numFmtId="0" fontId="0" fillId="0" borderId="0" xfId="0" applyAlignment="1" applyProtection="1">
      <alignment/>
      <protection hidden="1" locked="0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vertical="center" textRotation="90" shrinkToFit="1"/>
    </xf>
    <xf numFmtId="0" fontId="0" fillId="0" borderId="1" xfId="0" applyBorder="1" applyAlignment="1">
      <alignment shrinkToFi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textRotation="90"/>
    </xf>
    <xf numFmtId="0" fontId="0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" fontId="14" fillId="0" borderId="0" xfId="0" applyNumberFormat="1" applyFont="1" applyFill="1" applyBorder="1" applyAlignment="1" quotePrefix="1">
      <alignment horizontal="center"/>
    </xf>
    <xf numFmtId="0" fontId="0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center"/>
    </xf>
    <xf numFmtId="14" fontId="25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 quotePrefix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" fontId="0" fillId="4" borderId="0" xfId="0" applyNumberFormat="1" applyFill="1" applyBorder="1" applyAlignment="1" quotePrefix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7" xfId="0" applyNumberFormat="1" applyFill="1" applyBorder="1" applyAlignment="1" quotePrefix="1">
      <alignment horizontal="center"/>
    </xf>
    <xf numFmtId="1" fontId="0" fillId="4" borderId="8" xfId="0" applyNumberFormat="1" applyFill="1" applyBorder="1" applyAlignment="1" quotePrefix="1">
      <alignment horizontal="center"/>
    </xf>
    <xf numFmtId="1" fontId="0" fillId="4" borderId="9" xfId="0" applyNumberFormat="1" applyFill="1" applyBorder="1" applyAlignment="1" quotePrefix="1">
      <alignment horizontal="center"/>
    </xf>
    <xf numFmtId="1" fontId="0" fillId="4" borderId="10" xfId="0" applyNumberFormat="1" applyFill="1" applyBorder="1" applyAlignment="1">
      <alignment horizontal="center"/>
    </xf>
    <xf numFmtId="1" fontId="0" fillId="4" borderId="11" xfId="0" applyNumberFormat="1" applyFill="1" applyBorder="1" applyAlignment="1" quotePrefix="1">
      <alignment horizontal="center"/>
    </xf>
    <xf numFmtId="1" fontId="0" fillId="4" borderId="12" xfId="0" applyNumberForma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0" fontId="0" fillId="0" borderId="14" xfId="0" applyBorder="1" applyAlignment="1">
      <alignment horizontal="right"/>
    </xf>
    <xf numFmtId="1" fontId="29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1" fontId="3" fillId="0" borderId="17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 vertical="top"/>
    </xf>
    <xf numFmtId="1" fontId="0" fillId="0" borderId="20" xfId="21" applyNumberFormat="1" applyFont="1" applyFill="1" applyBorder="1" applyAlignment="1">
      <alignment horizontal="center"/>
      <protection/>
    </xf>
    <xf numFmtId="1" fontId="0" fillId="0" borderId="0" xfId="0" applyNumberFormat="1" applyBorder="1" applyAlignment="1">
      <alignment horizontal="left" indent="1"/>
    </xf>
    <xf numFmtId="1" fontId="0" fillId="0" borderId="21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1" fontId="0" fillId="0" borderId="16" xfId="21" applyNumberFormat="1" applyFont="1" applyFill="1" applyBorder="1" applyAlignment="1">
      <alignment horizontal="center"/>
      <protection/>
    </xf>
    <xf numFmtId="0" fontId="0" fillId="0" borderId="3" xfId="21" applyFont="1" applyFill="1" applyBorder="1">
      <alignment/>
      <protection/>
    </xf>
    <xf numFmtId="1" fontId="0" fillId="0" borderId="3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NumberFormat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7" borderId="0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5" fillId="0" borderId="24" xfId="0" applyFont="1" applyBorder="1" applyAlignment="1">
      <alignment/>
    </xf>
    <xf numFmtId="0" fontId="0" fillId="0" borderId="0" xfId="0" applyAlignment="1" quotePrefix="1">
      <alignment horizontal="center"/>
    </xf>
    <xf numFmtId="0" fontId="5" fillId="0" borderId="0" xfId="0" applyFont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8" borderId="0" xfId="0" applyFont="1" applyFill="1" applyBorder="1" applyAlignment="1">
      <alignment horizontal="right"/>
    </xf>
    <xf numFmtId="0" fontId="5" fillId="0" borderId="18" xfId="0" applyFont="1" applyBorder="1" applyAlignment="1">
      <alignment/>
    </xf>
    <xf numFmtId="0" fontId="5" fillId="3" borderId="11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5" fillId="8" borderId="8" xfId="0" applyFont="1" applyFill="1" applyBorder="1" applyAlignment="1">
      <alignment horizontal="right"/>
    </xf>
    <xf numFmtId="49" fontId="5" fillId="3" borderId="25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right"/>
    </xf>
    <xf numFmtId="0" fontId="5" fillId="9" borderId="8" xfId="0" applyFont="1" applyFill="1" applyBorder="1" applyAlignment="1">
      <alignment horizontal="right"/>
    </xf>
    <xf numFmtId="1" fontId="5" fillId="9" borderId="26" xfId="0" applyNumberFormat="1" applyFont="1" applyFill="1" applyBorder="1" applyAlignment="1">
      <alignment horizontal="center"/>
    </xf>
    <xf numFmtId="0" fontId="5" fillId="10" borderId="8" xfId="0" applyFont="1" applyFill="1" applyBorder="1" applyAlignment="1">
      <alignment horizontal="right"/>
    </xf>
    <xf numFmtId="49" fontId="5" fillId="10" borderId="8" xfId="0" applyNumberFormat="1" applyFont="1" applyFill="1" applyBorder="1" applyAlignment="1">
      <alignment horizontal="center"/>
    </xf>
    <xf numFmtId="0" fontId="5" fillId="10" borderId="0" xfId="0" applyFont="1" applyFill="1" applyBorder="1" applyAlignment="1">
      <alignment horizontal="right"/>
    </xf>
    <xf numFmtId="49" fontId="5" fillId="10" borderId="25" xfId="0" applyNumberFormat="1" applyFont="1" applyFill="1" applyBorder="1" applyAlignment="1">
      <alignment horizontal="center"/>
    </xf>
    <xf numFmtId="0" fontId="5" fillId="10" borderId="11" xfId="0" applyFont="1" applyFill="1" applyBorder="1" applyAlignment="1">
      <alignment horizontal="right"/>
    </xf>
    <xf numFmtId="0" fontId="5" fillId="11" borderId="8" xfId="0" applyFont="1" applyFill="1" applyBorder="1" applyAlignment="1">
      <alignment horizontal="right"/>
    </xf>
    <xf numFmtId="49" fontId="5" fillId="11" borderId="8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right"/>
    </xf>
    <xf numFmtId="49" fontId="5" fillId="11" borderId="25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right"/>
    </xf>
    <xf numFmtId="0" fontId="5" fillId="3" borderId="18" xfId="0" applyFont="1" applyFill="1" applyBorder="1" applyAlignment="1">
      <alignment horizontal="right"/>
    </xf>
    <xf numFmtId="0" fontId="5" fillId="3" borderId="18" xfId="0" applyFont="1" applyFill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29" fillId="4" borderId="11" xfId="0" applyFont="1" applyFill="1" applyBorder="1" applyAlignment="1">
      <alignment horizontal="center"/>
    </xf>
    <xf numFmtId="49" fontId="29" fillId="3" borderId="11" xfId="0" applyNumberFormat="1" applyFont="1" applyFill="1" applyBorder="1" applyAlignment="1">
      <alignment horizontal="center"/>
    </xf>
    <xf numFmtId="0" fontId="29" fillId="8" borderId="0" xfId="0" applyFont="1" applyFill="1" applyBorder="1" applyAlignment="1">
      <alignment horizontal="center"/>
    </xf>
    <xf numFmtId="0" fontId="29" fillId="10" borderId="11" xfId="0" applyFont="1" applyFill="1" applyBorder="1" applyAlignment="1">
      <alignment horizontal="center"/>
    </xf>
    <xf numFmtId="0" fontId="29" fillId="11" borderId="11" xfId="0" applyFont="1" applyFill="1" applyBorder="1" applyAlignment="1">
      <alignment horizontal="center"/>
    </xf>
    <xf numFmtId="0" fontId="20" fillId="9" borderId="3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8" borderId="28" xfId="0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0" fillId="12" borderId="33" xfId="0" applyFill="1" applyBorder="1" applyAlignment="1">
      <alignment/>
    </xf>
    <xf numFmtId="0" fontId="0" fillId="12" borderId="18" xfId="0" applyFill="1" applyBorder="1" applyAlignment="1">
      <alignment/>
    </xf>
    <xf numFmtId="0" fontId="0" fillId="12" borderId="32" xfId="0" applyFill="1" applyBorder="1" applyAlignment="1">
      <alignment/>
    </xf>
    <xf numFmtId="0" fontId="0" fillId="12" borderId="34" xfId="0" applyFill="1" applyBorder="1" applyAlignment="1">
      <alignment/>
    </xf>
    <xf numFmtId="0" fontId="0" fillId="12" borderId="25" xfId="0" applyFill="1" applyBorder="1" applyAlignment="1">
      <alignment/>
    </xf>
    <xf numFmtId="0" fontId="5" fillId="12" borderId="35" xfId="0" applyFont="1" applyFill="1" applyBorder="1" applyAlignment="1">
      <alignment/>
    </xf>
    <xf numFmtId="0" fontId="0" fillId="13" borderId="36" xfId="0" applyFill="1" applyBorder="1" applyAlignment="1">
      <alignment/>
    </xf>
    <xf numFmtId="0" fontId="0" fillId="13" borderId="8" xfId="0" applyFill="1" applyBorder="1" applyAlignment="1">
      <alignment/>
    </xf>
    <xf numFmtId="0" fontId="5" fillId="13" borderId="37" xfId="0" applyFont="1" applyFill="1" applyBorder="1" applyAlignment="1">
      <alignment horizontal="center"/>
    </xf>
    <xf numFmtId="0" fontId="0" fillId="13" borderId="34" xfId="0" applyFill="1" applyBorder="1" applyAlignment="1">
      <alignment/>
    </xf>
    <xf numFmtId="0" fontId="0" fillId="13" borderId="25" xfId="0" applyFill="1" applyBorder="1" applyAlignment="1">
      <alignment/>
    </xf>
    <xf numFmtId="0" fontId="5" fillId="13" borderId="35" xfId="0" applyFont="1" applyFill="1" applyBorder="1" applyAlignment="1">
      <alignment horizontal="center"/>
    </xf>
    <xf numFmtId="0" fontId="0" fillId="14" borderId="28" xfId="0" applyFill="1" applyBorder="1" applyAlignment="1">
      <alignment/>
    </xf>
    <xf numFmtId="0" fontId="0" fillId="14" borderId="0" xfId="0" applyFill="1" applyBorder="1" applyAlignment="1">
      <alignment/>
    </xf>
    <xf numFmtId="0" fontId="5" fillId="14" borderId="37" xfId="0" applyFont="1" applyFill="1" applyBorder="1" applyAlignment="1">
      <alignment horizontal="center"/>
    </xf>
    <xf numFmtId="0" fontId="0" fillId="14" borderId="34" xfId="0" applyFill="1" applyBorder="1" applyAlignment="1">
      <alignment/>
    </xf>
    <xf numFmtId="0" fontId="0" fillId="14" borderId="25" xfId="0" applyFill="1" applyBorder="1" applyAlignment="1">
      <alignment/>
    </xf>
    <xf numFmtId="0" fontId="5" fillId="14" borderId="35" xfId="0" applyFont="1" applyFill="1" applyBorder="1" applyAlignment="1">
      <alignment horizontal="center"/>
    </xf>
    <xf numFmtId="0" fontId="0" fillId="15" borderId="36" xfId="0" applyFill="1" applyBorder="1" applyAlignment="1">
      <alignment/>
    </xf>
    <xf numFmtId="0" fontId="0" fillId="15" borderId="8" xfId="0" applyFill="1" applyBorder="1" applyAlignment="1">
      <alignment/>
    </xf>
    <xf numFmtId="0" fontId="5" fillId="15" borderId="37" xfId="0" applyFont="1" applyFill="1" applyBorder="1" applyAlignment="1">
      <alignment horizontal="center"/>
    </xf>
    <xf numFmtId="0" fontId="0" fillId="15" borderId="34" xfId="0" applyFill="1" applyBorder="1" applyAlignment="1">
      <alignment/>
    </xf>
    <xf numFmtId="0" fontId="0" fillId="15" borderId="25" xfId="0" applyFill="1" applyBorder="1" applyAlignment="1">
      <alignment/>
    </xf>
    <xf numFmtId="0" fontId="5" fillId="15" borderId="35" xfId="0" applyFont="1" applyFill="1" applyBorder="1" applyAlignment="1">
      <alignment horizontal="center"/>
    </xf>
    <xf numFmtId="0" fontId="0" fillId="16" borderId="36" xfId="0" applyFill="1" applyBorder="1" applyAlignment="1">
      <alignment/>
    </xf>
    <xf numFmtId="0" fontId="0" fillId="16" borderId="8" xfId="0" applyFill="1" applyBorder="1" applyAlignment="1">
      <alignment/>
    </xf>
    <xf numFmtId="0" fontId="5" fillId="16" borderId="37" xfId="0" applyFont="1" applyFill="1" applyBorder="1" applyAlignment="1">
      <alignment horizontal="center"/>
    </xf>
    <xf numFmtId="0" fontId="0" fillId="16" borderId="34" xfId="0" applyFill="1" applyBorder="1" applyAlignment="1">
      <alignment/>
    </xf>
    <xf numFmtId="0" fontId="0" fillId="16" borderId="25" xfId="0" applyFill="1" applyBorder="1" applyAlignment="1">
      <alignment/>
    </xf>
    <xf numFmtId="0" fontId="5" fillId="16" borderId="35" xfId="0" applyFont="1" applyFill="1" applyBorder="1" applyAlignment="1">
      <alignment horizontal="center"/>
    </xf>
    <xf numFmtId="0" fontId="0" fillId="17" borderId="34" xfId="0" applyFill="1" applyBorder="1" applyAlignment="1">
      <alignment/>
    </xf>
    <xf numFmtId="0" fontId="0" fillId="17" borderId="25" xfId="0" applyFill="1" applyBorder="1" applyAlignment="1">
      <alignment/>
    </xf>
    <xf numFmtId="0" fontId="5" fillId="17" borderId="38" xfId="0" applyFont="1" applyFill="1" applyBorder="1" applyAlignment="1">
      <alignment horizontal="center"/>
    </xf>
    <xf numFmtId="0" fontId="5" fillId="4" borderId="30" xfId="0" applyFont="1" applyFill="1" applyBorder="1" applyAlignment="1" quotePrefix="1">
      <alignment horizontal="center"/>
    </xf>
    <xf numFmtId="0" fontId="32" fillId="3" borderId="0" xfId="0" applyFont="1" applyFill="1" applyBorder="1" applyAlignment="1" quotePrefix="1">
      <alignment horizontal="center"/>
    </xf>
    <xf numFmtId="0" fontId="32" fillId="3" borderId="32" xfId="0" applyFont="1" applyFill="1" applyBorder="1" applyAlignment="1" quotePrefix="1">
      <alignment horizontal="center"/>
    </xf>
    <xf numFmtId="0" fontId="32" fillId="8" borderId="32" xfId="0" applyFont="1" applyFill="1" applyBorder="1" applyAlignment="1" quotePrefix="1">
      <alignment horizontal="center"/>
    </xf>
    <xf numFmtId="0" fontId="5" fillId="11" borderId="39" xfId="0" applyFont="1" applyFill="1" applyBorder="1" applyAlignment="1">
      <alignment horizontal="center"/>
    </xf>
    <xf numFmtId="0" fontId="32" fillId="9" borderId="3" xfId="0" applyFont="1" applyFill="1" applyBorder="1" applyAlignment="1" quotePrefix="1">
      <alignment horizontal="center"/>
    </xf>
    <xf numFmtId="0" fontId="32" fillId="9" borderId="17" xfId="0" applyFont="1" applyFill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1" fontId="0" fillId="0" borderId="0" xfId="0" applyNumberFormat="1" applyAlignment="1">
      <alignment horizontal="left"/>
    </xf>
    <xf numFmtId="0" fontId="0" fillId="18" borderId="20" xfId="0" applyFill="1" applyBorder="1" applyAlignment="1">
      <alignment/>
    </xf>
    <xf numFmtId="0" fontId="0" fillId="18" borderId="21" xfId="0" applyFill="1" applyBorder="1" applyAlignment="1">
      <alignment horizontal="center"/>
    </xf>
    <xf numFmtId="0" fontId="20" fillId="0" borderId="20" xfId="0" applyFont="1" applyBorder="1" applyAlignment="1">
      <alignment horizontal="right"/>
    </xf>
    <xf numFmtId="0" fontId="20" fillId="0" borderId="21" xfId="0" applyFont="1" applyBorder="1" applyAlignment="1">
      <alignment horizontal="center"/>
    </xf>
    <xf numFmtId="0" fontId="0" fillId="19" borderId="20" xfId="0" applyFill="1" applyBorder="1" applyAlignment="1">
      <alignment/>
    </xf>
    <xf numFmtId="0" fontId="0" fillId="19" borderId="21" xfId="0" applyFill="1" applyBorder="1" applyAlignment="1">
      <alignment horizontal="center"/>
    </xf>
    <xf numFmtId="0" fontId="20" fillId="0" borderId="20" xfId="0" applyFont="1" applyFill="1" applyBorder="1" applyAlignment="1">
      <alignment horizontal="right"/>
    </xf>
    <xf numFmtId="0" fontId="0" fillId="20" borderId="20" xfId="0" applyFill="1" applyBorder="1" applyAlignment="1">
      <alignment/>
    </xf>
    <xf numFmtId="0" fontId="0" fillId="20" borderId="21" xfId="0" applyFill="1" applyBorder="1" applyAlignment="1">
      <alignment horizontal="center"/>
    </xf>
    <xf numFmtId="0" fontId="20" fillId="0" borderId="16" xfId="0" applyFont="1" applyFill="1" applyBorder="1" applyAlignment="1">
      <alignment horizontal="right"/>
    </xf>
    <xf numFmtId="0" fontId="20" fillId="0" borderId="17" xfId="0" applyFont="1" applyBorder="1" applyAlignment="1">
      <alignment horizontal="center"/>
    </xf>
    <xf numFmtId="0" fontId="23" fillId="20" borderId="14" xfId="0" applyFont="1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21" borderId="2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2" borderId="20" xfId="0" applyFill="1" applyBorder="1" applyAlignment="1">
      <alignment/>
    </xf>
    <xf numFmtId="0" fontId="0" fillId="11" borderId="20" xfId="0" applyFill="1" applyBorder="1" applyAlignment="1">
      <alignment/>
    </xf>
    <xf numFmtId="0" fontId="23" fillId="20" borderId="20" xfId="0" applyFont="1" applyFill="1" applyBorder="1" applyAlignment="1">
      <alignment horizontal="left"/>
    </xf>
    <xf numFmtId="0" fontId="0" fillId="23" borderId="20" xfId="0" applyFill="1" applyBorder="1" applyAlignment="1">
      <alignment/>
    </xf>
    <xf numFmtId="0" fontId="23" fillId="20" borderId="0" xfId="0" applyFont="1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" borderId="20" xfId="0" applyFill="1" applyBorder="1" applyAlignment="1">
      <alignment/>
    </xf>
    <xf numFmtId="0" fontId="24" fillId="25" borderId="20" xfId="0" applyFont="1" applyFill="1" applyBorder="1" applyAlignment="1">
      <alignment horizontal="center"/>
    </xf>
    <xf numFmtId="0" fontId="0" fillId="25" borderId="20" xfId="0" applyFill="1" applyBorder="1" applyAlignment="1">
      <alignment/>
    </xf>
    <xf numFmtId="0" fontId="24" fillId="26" borderId="20" xfId="0" applyFont="1" applyFill="1" applyBorder="1" applyAlignment="1">
      <alignment horizontal="center"/>
    </xf>
    <xf numFmtId="0" fontId="0" fillId="26" borderId="20" xfId="0" applyFill="1" applyBorder="1" applyAlignment="1">
      <alignment/>
    </xf>
    <xf numFmtId="0" fontId="23" fillId="20" borderId="20" xfId="0" applyFont="1" applyFill="1" applyBorder="1" applyAlignment="1">
      <alignment/>
    </xf>
    <xf numFmtId="0" fontId="0" fillId="6" borderId="20" xfId="0" applyFill="1" applyBorder="1" applyAlignment="1">
      <alignment/>
    </xf>
    <xf numFmtId="0" fontId="0" fillId="4" borderId="20" xfId="0" applyFill="1" applyBorder="1" applyAlignment="1">
      <alignment/>
    </xf>
    <xf numFmtId="0" fontId="0" fillId="8" borderId="20" xfId="0" applyFill="1" applyBorder="1" applyAlignment="1">
      <alignment/>
    </xf>
    <xf numFmtId="0" fontId="0" fillId="27" borderId="20" xfId="0" applyFill="1" applyBorder="1" applyAlignment="1">
      <alignment/>
    </xf>
    <xf numFmtId="0" fontId="0" fillId="28" borderId="20" xfId="0" applyFill="1" applyBorder="1" applyAlignment="1">
      <alignment/>
    </xf>
    <xf numFmtId="0" fontId="0" fillId="11" borderId="20" xfId="0" applyFill="1" applyBorder="1" applyAlignment="1">
      <alignment vertical="top"/>
    </xf>
    <xf numFmtId="49" fontId="0" fillId="0" borderId="0" xfId="0" applyNumberFormat="1" applyBorder="1" applyAlignment="1">
      <alignment horizontal="center" vertical="top"/>
    </xf>
    <xf numFmtId="0" fontId="0" fillId="11" borderId="16" xfId="0" applyFill="1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1" xfId="0" applyBorder="1" applyAlignment="1" applyProtection="1">
      <alignment/>
      <protection/>
    </xf>
    <xf numFmtId="0" fontId="0" fillId="3" borderId="40" xfId="0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 horizontal="center"/>
    </xf>
    <xf numFmtId="0" fontId="33" fillId="0" borderId="16" xfId="0" applyFont="1" applyBorder="1" applyAlignment="1">
      <alignment/>
    </xf>
    <xf numFmtId="0" fontId="33" fillId="0" borderId="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3" xfId="0" applyFont="1" applyBorder="1" applyAlignment="1">
      <alignment/>
    </xf>
    <xf numFmtId="0" fontId="33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2" fontId="2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35" fillId="18" borderId="0" xfId="0" applyFont="1" applyFill="1" applyAlignment="1">
      <alignment/>
    </xf>
    <xf numFmtId="2" fontId="20" fillId="18" borderId="0" xfId="0" applyNumberFormat="1" applyFont="1" applyFill="1" applyAlignment="1">
      <alignment/>
    </xf>
    <xf numFmtId="2" fontId="4" fillId="18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5" fillId="18" borderId="22" xfId="0" applyFont="1" applyFill="1" applyBorder="1" applyAlignment="1">
      <alignment/>
    </xf>
    <xf numFmtId="0" fontId="0" fillId="18" borderId="22" xfId="0" applyFill="1" applyBorder="1" applyAlignment="1">
      <alignment/>
    </xf>
    <xf numFmtId="0" fontId="0" fillId="29" borderId="2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NumberFormat="1" applyFill="1" applyBorder="1" applyAlignment="1">
      <alignment/>
    </xf>
    <xf numFmtId="0" fontId="0" fillId="29" borderId="36" xfId="0" applyFill="1" applyBorder="1" applyAlignment="1">
      <alignment/>
    </xf>
    <xf numFmtId="0" fontId="0" fillId="11" borderId="41" xfId="0" applyFill="1" applyBorder="1" applyAlignment="1">
      <alignment/>
    </xf>
    <xf numFmtId="0" fontId="0" fillId="11" borderId="42" xfId="0" applyFill="1" applyBorder="1" applyAlignment="1">
      <alignment/>
    </xf>
    <xf numFmtId="0" fontId="0" fillId="11" borderId="43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Alignment="1">
      <alignment horizontal="right"/>
    </xf>
    <xf numFmtId="0" fontId="0" fillId="11" borderId="40" xfId="0" applyFont="1" applyFill="1" applyBorder="1" applyAlignment="1">
      <alignment horizontal="right"/>
    </xf>
    <xf numFmtId="2" fontId="0" fillId="11" borderId="43" xfId="0" applyNumberFormat="1" applyFont="1" applyFill="1" applyBorder="1" applyAlignment="1">
      <alignment horizontal="left"/>
    </xf>
    <xf numFmtId="0" fontId="5" fillId="7" borderId="0" xfId="0" applyFont="1" applyFill="1" applyAlignment="1">
      <alignment/>
    </xf>
    <xf numFmtId="2" fontId="5" fillId="7" borderId="23" xfId="0" applyNumberFormat="1" applyFont="1" applyFill="1" applyBorder="1" applyAlignment="1">
      <alignment horizontal="center"/>
    </xf>
    <xf numFmtId="0" fontId="0" fillId="0" borderId="11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3" fillId="0" borderId="44" xfId="0" applyFont="1" applyBorder="1" applyAlignment="1" applyProtection="1">
      <alignment vertical="top"/>
      <protection/>
    </xf>
    <xf numFmtId="0" fontId="0" fillId="0" borderId="45" xfId="0" applyBorder="1" applyAlignment="1" applyProtection="1">
      <alignment/>
      <protection/>
    </xf>
    <xf numFmtId="0" fontId="3" fillId="0" borderId="44" xfId="0" applyFont="1" applyFill="1" applyBorder="1" applyAlignment="1" applyProtection="1">
      <alignment vertical="top"/>
      <protection/>
    </xf>
    <xf numFmtId="0" fontId="4" fillId="0" borderId="45" xfId="0" applyFont="1" applyFill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top"/>
      <protection/>
    </xf>
    <xf numFmtId="0" fontId="0" fillId="0" borderId="44" xfId="0" applyBorder="1" applyAlignment="1" applyProtection="1">
      <alignment/>
      <protection/>
    </xf>
    <xf numFmtId="0" fontId="0" fillId="0" borderId="45" xfId="0" applyFont="1" applyBorder="1" applyAlignment="1" applyProtection="1">
      <alignment vertical="center"/>
      <protection/>
    </xf>
    <xf numFmtId="0" fontId="0" fillId="0" borderId="46" xfId="0" applyBorder="1" applyAlignment="1" applyProtection="1">
      <alignment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top"/>
      <protection/>
    </xf>
    <xf numFmtId="0" fontId="0" fillId="0" borderId="45" xfId="0" applyFont="1" applyBorder="1" applyAlignment="1" applyProtection="1">
      <alignment/>
      <protection/>
    </xf>
    <xf numFmtId="49" fontId="0" fillId="0" borderId="45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22" xfId="0" applyBorder="1" applyAlignment="1" applyProtection="1">
      <alignment horizontal="center" vertical="center"/>
      <protection/>
    </xf>
    <xf numFmtId="0" fontId="17" fillId="0" borderId="7" xfId="0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wrapText="1"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14" fillId="0" borderId="8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17" fillId="0" borderId="8" xfId="0" applyFont="1" applyFill="1" applyBorder="1" applyAlignment="1" applyProtection="1">
      <alignment vertical="center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10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textRotation="90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18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7" fillId="0" borderId="8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top"/>
      <protection/>
    </xf>
    <xf numFmtId="0" fontId="0" fillId="0" borderId="7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3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48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0" fillId="0" borderId="11" xfId="0" applyFont="1" applyBorder="1" applyAlignment="1" applyProtection="1">
      <alignment vertical="center"/>
      <protection/>
    </xf>
    <xf numFmtId="0" fontId="0" fillId="26" borderId="8" xfId="0" applyFill="1" applyBorder="1" applyAlignment="1" applyProtection="1">
      <alignment/>
      <protection/>
    </xf>
    <xf numFmtId="0" fontId="0" fillId="26" borderId="8" xfId="0" applyFill="1" applyBorder="1" applyAlignment="1" applyProtection="1">
      <alignment vertical="center"/>
      <protection/>
    </xf>
    <xf numFmtId="0" fontId="0" fillId="26" borderId="1" xfId="0" applyFill="1" applyBorder="1" applyAlignment="1" applyProtection="1">
      <alignment/>
      <protection/>
    </xf>
    <xf numFmtId="0" fontId="0" fillId="26" borderId="0" xfId="0" applyFill="1" applyBorder="1" applyAlignment="1" applyProtection="1">
      <alignment vertical="center"/>
      <protection/>
    </xf>
    <xf numFmtId="0" fontId="0" fillId="26" borderId="0" xfId="0" applyFill="1" applyBorder="1" applyAlignment="1" applyProtection="1">
      <alignment/>
      <protection/>
    </xf>
    <xf numFmtId="0" fontId="0" fillId="26" borderId="0" xfId="0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/>
      <protection/>
    </xf>
    <xf numFmtId="0" fontId="0" fillId="26" borderId="10" xfId="0" applyFill="1" applyBorder="1" applyAlignment="1" applyProtection="1">
      <alignment/>
      <protection/>
    </xf>
    <xf numFmtId="0" fontId="0" fillId="26" borderId="11" xfId="0" applyFill="1" applyBorder="1" applyAlignment="1" applyProtection="1">
      <alignment vertical="center"/>
      <protection/>
    </xf>
    <xf numFmtId="0" fontId="0" fillId="26" borderId="13" xfId="0" applyFill="1" applyBorder="1" applyAlignment="1" applyProtection="1">
      <alignment horizontal="center" vertical="center"/>
      <protection/>
    </xf>
    <xf numFmtId="0" fontId="13" fillId="26" borderId="28" xfId="0" applyFont="1" applyFill="1" applyBorder="1" applyAlignment="1" applyProtection="1">
      <alignment horizontal="center" vertical="center"/>
      <protection/>
    </xf>
    <xf numFmtId="0" fontId="13" fillId="26" borderId="12" xfId="0" applyFont="1" applyFill="1" applyBorder="1" applyAlignment="1" applyProtection="1">
      <alignment horizontal="center" vertical="center"/>
      <protection/>
    </xf>
    <xf numFmtId="0" fontId="0" fillId="26" borderId="11" xfId="0" applyFill="1" applyBorder="1" applyAlignment="1" applyProtection="1">
      <alignment/>
      <protection/>
    </xf>
    <xf numFmtId="0" fontId="0" fillId="26" borderId="13" xfId="0" applyFill="1" applyBorder="1" applyAlignment="1" applyProtection="1">
      <alignment/>
      <protection/>
    </xf>
    <xf numFmtId="0" fontId="13" fillId="26" borderId="1" xfId="0" applyFont="1" applyFill="1" applyBorder="1" applyAlignment="1" applyProtection="1">
      <alignment horizontal="center" vertical="center" textRotation="90"/>
      <protection/>
    </xf>
    <xf numFmtId="0" fontId="13" fillId="26" borderId="0" xfId="0" applyFont="1" applyFill="1" applyBorder="1" applyAlignment="1" applyProtection="1">
      <alignment horizontal="center" vertical="center"/>
      <protection/>
    </xf>
    <xf numFmtId="0" fontId="0" fillId="26" borderId="0" xfId="0" applyFont="1" applyFill="1" applyBorder="1" applyAlignment="1" applyProtection="1">
      <alignment vertical="center"/>
      <protection/>
    </xf>
    <xf numFmtId="0" fontId="13" fillId="26" borderId="10" xfId="0" applyFont="1" applyFill="1" applyBorder="1" applyAlignment="1" applyProtection="1">
      <alignment horizontal="center" vertical="center" textRotation="90"/>
      <protection/>
    </xf>
    <xf numFmtId="0" fontId="0" fillId="26" borderId="1" xfId="0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26" borderId="0" xfId="0" applyFont="1" applyFill="1" applyBorder="1" applyAlignment="1" applyProtection="1">
      <alignment horizontal="center" vertical="center"/>
      <protection/>
    </xf>
    <xf numFmtId="0" fontId="0" fillId="26" borderId="0" xfId="0" applyFill="1" applyBorder="1" applyAlignment="1" applyProtection="1">
      <alignment horizontal="center" vertical="center"/>
      <protection/>
    </xf>
    <xf numFmtId="0" fontId="0" fillId="26" borderId="10" xfId="0" applyFill="1" applyBorder="1" applyAlignment="1" applyProtection="1">
      <alignment horizontal="right" vertical="center"/>
      <protection/>
    </xf>
    <xf numFmtId="0" fontId="13" fillId="26" borderId="12" xfId="0" applyFont="1" applyFill="1" applyBorder="1" applyAlignment="1" applyProtection="1">
      <alignment horizontal="center" vertical="center" textRotation="90"/>
      <protection/>
    </xf>
    <xf numFmtId="0" fontId="13" fillId="26" borderId="11" xfId="0" applyFont="1" applyFill="1" applyBorder="1" applyAlignment="1" applyProtection="1">
      <alignment horizontal="center" vertical="center"/>
      <protection/>
    </xf>
    <xf numFmtId="0" fontId="0" fillId="26" borderId="11" xfId="0" applyFill="1" applyBorder="1" applyAlignment="1" applyProtection="1">
      <alignment horizontal="center" vertical="center"/>
      <protection/>
    </xf>
    <xf numFmtId="0" fontId="0" fillId="26" borderId="12" xfId="0" applyFill="1" applyBorder="1" applyAlignment="1" applyProtection="1">
      <alignment horizontal="center" vertical="center"/>
      <protection/>
    </xf>
    <xf numFmtId="0" fontId="13" fillId="26" borderId="13" xfId="0" applyFont="1" applyFill="1" applyBorder="1" applyAlignment="1" applyProtection="1">
      <alignment horizontal="center" vertical="center" textRotation="90"/>
      <protection/>
    </xf>
    <xf numFmtId="0" fontId="0" fillId="0" borderId="8" xfId="0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13" fillId="0" borderId="1" xfId="0" applyFont="1" applyBorder="1" applyAlignment="1" applyProtection="1">
      <alignment horizontal="center" vertical="center" textRotation="90"/>
      <protection/>
    </xf>
    <xf numFmtId="0" fontId="13" fillId="0" borderId="0" xfId="0" applyFont="1" applyBorder="1" applyAlignment="1" applyProtection="1">
      <alignment horizontal="center" vertical="center" textRotation="90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top"/>
      <protection/>
    </xf>
    <xf numFmtId="0" fontId="16" fillId="0" borderId="8" xfId="0" applyFont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13" fillId="0" borderId="12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top"/>
      <protection/>
    </xf>
    <xf numFmtId="0" fontId="13" fillId="0" borderId="11" xfId="0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/>
      <protection/>
    </xf>
    <xf numFmtId="0" fontId="17" fillId="0" borderId="1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/>
      <protection/>
    </xf>
    <xf numFmtId="181" fontId="0" fillId="0" borderId="0" xfId="0" applyNumberForma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8" xfId="0" applyFont="1" applyFill="1" applyBorder="1" applyAlignment="1" applyProtection="1">
      <alignment/>
      <protection/>
    </xf>
    <xf numFmtId="0" fontId="0" fillId="26" borderId="9" xfId="0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 vertical="center"/>
      <protection/>
    </xf>
    <xf numFmtId="0" fontId="3" fillId="26" borderId="10" xfId="0" applyFont="1" applyFill="1" applyBorder="1" applyAlignment="1" applyProtection="1">
      <alignment vertical="center"/>
      <protection/>
    </xf>
    <xf numFmtId="0" fontId="3" fillId="26" borderId="1" xfId="0" applyFont="1" applyFill="1" applyBorder="1" applyAlignment="1" applyProtection="1">
      <alignment vertical="center"/>
      <protection/>
    </xf>
    <xf numFmtId="0" fontId="11" fillId="26" borderId="0" xfId="0" applyFont="1" applyFill="1" applyBorder="1" applyAlignment="1" applyProtection="1">
      <alignment vertical="center"/>
      <protection/>
    </xf>
    <xf numFmtId="0" fontId="0" fillId="26" borderId="10" xfId="0" applyFill="1" applyBorder="1" applyAlignment="1" applyProtection="1">
      <alignment/>
      <protection/>
    </xf>
    <xf numFmtId="0" fontId="3" fillId="26" borderId="12" xfId="0" applyFont="1" applyFill="1" applyBorder="1" applyAlignment="1" applyProtection="1">
      <alignment vertical="center"/>
      <protection/>
    </xf>
    <xf numFmtId="0" fontId="3" fillId="26" borderId="11" xfId="0" applyFont="1" applyFill="1" applyBorder="1" applyAlignment="1" applyProtection="1">
      <alignment vertical="top"/>
      <protection/>
    </xf>
    <xf numFmtId="0" fontId="3" fillId="26" borderId="11" xfId="0" applyFont="1" applyFill="1" applyBorder="1" applyAlignment="1" applyProtection="1">
      <alignment vertical="center"/>
      <protection/>
    </xf>
    <xf numFmtId="0" fontId="3" fillId="26" borderId="13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8" fillId="0" borderId="1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8" xfId="0" applyFont="1" applyBorder="1" applyAlignment="1" applyProtection="1">
      <alignment horizontal="left" vertical="center"/>
      <protection/>
    </xf>
    <xf numFmtId="0" fontId="14" fillId="0" borderId="8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17" fillId="0" borderId="1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30" fillId="0" borderId="11" xfId="0" applyFont="1" applyBorder="1" applyAlignment="1" applyProtection="1">
      <alignment horizontal="left" vertical="center"/>
      <protection/>
    </xf>
    <xf numFmtId="2" fontId="5" fillId="3" borderId="14" xfId="0" applyNumberFormat="1" applyFont="1" applyFill="1" applyBorder="1" applyAlignment="1">
      <alignment horizontal="center"/>
    </xf>
    <xf numFmtId="2" fontId="5" fillId="3" borderId="20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1" fontId="37" fillId="11" borderId="4" xfId="0" applyNumberFormat="1" applyFont="1" applyFill="1" applyBorder="1" applyAlignment="1">
      <alignment horizontal="center"/>
    </xf>
    <xf numFmtId="1" fontId="37" fillId="11" borderId="5" xfId="0" applyNumberFormat="1" applyFont="1" applyFill="1" applyBorder="1" applyAlignment="1">
      <alignment horizontal="center"/>
    </xf>
    <xf numFmtId="1" fontId="37" fillId="11" borderId="6" xfId="0" applyNumberFormat="1" applyFont="1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38" fillId="11" borderId="23" xfId="0" applyFont="1" applyFill="1" applyBorder="1" applyAlignment="1">
      <alignment horizontal="center" vertical="top"/>
    </xf>
    <xf numFmtId="0" fontId="5" fillId="11" borderId="14" xfId="0" applyFont="1" applyFill="1" applyBorder="1" applyAlignment="1">
      <alignment/>
    </xf>
    <xf numFmtId="0" fontId="5" fillId="11" borderId="19" xfId="0" applyFont="1" applyFill="1" applyBorder="1" applyAlignment="1">
      <alignment/>
    </xf>
    <xf numFmtId="0" fontId="5" fillId="11" borderId="17" xfId="0" applyFont="1" applyFill="1" applyBorder="1" applyAlignment="1">
      <alignment/>
    </xf>
    <xf numFmtId="0" fontId="5" fillId="11" borderId="16" xfId="0" applyFont="1" applyFill="1" applyBorder="1" applyAlignment="1">
      <alignment horizontal="center"/>
    </xf>
    <xf numFmtId="1" fontId="0" fillId="11" borderId="21" xfId="0" applyNumberFormat="1" applyFill="1" applyBorder="1" applyAlignment="1">
      <alignment horizontal="center"/>
    </xf>
    <xf numFmtId="0" fontId="37" fillId="11" borderId="21" xfId="0" applyFont="1" applyFill="1" applyBorder="1" applyAlignment="1">
      <alignment horizontal="center"/>
    </xf>
    <xf numFmtId="1" fontId="37" fillId="11" borderId="21" xfId="0" applyNumberFormat="1" applyFont="1" applyFill="1" applyBorder="1" applyAlignment="1">
      <alignment horizontal="center"/>
    </xf>
    <xf numFmtId="0" fontId="5" fillId="11" borderId="23" xfId="0" applyFont="1" applyFill="1" applyBorder="1" applyAlignment="1">
      <alignment horizontal="center" vertical="top" wrapText="1"/>
    </xf>
    <xf numFmtId="0" fontId="0" fillId="26" borderId="30" xfId="0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top"/>
      <protection/>
    </xf>
    <xf numFmtId="0" fontId="0" fillId="0" borderId="8" xfId="0" applyBorder="1" applyAlignment="1">
      <alignment/>
    </xf>
    <xf numFmtId="0" fontId="5" fillId="0" borderId="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8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5" fillId="27" borderId="0" xfId="0" applyFont="1" applyFill="1" applyBorder="1" applyAlignment="1">
      <alignment horizontal="center"/>
    </xf>
    <xf numFmtId="0" fontId="5" fillId="27" borderId="0" xfId="0" applyFont="1" applyFill="1" applyBorder="1" applyAlignment="1">
      <alignment horizontal="center" wrapText="1"/>
    </xf>
    <xf numFmtId="0" fontId="38" fillId="26" borderId="7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 wrapText="1"/>
    </xf>
    <xf numFmtId="0" fontId="3" fillId="0" borderId="8" xfId="0" applyFont="1" applyBorder="1" applyAlignment="1" applyProtection="1">
      <alignment vertical="center"/>
      <protection/>
    </xf>
    <xf numFmtId="0" fontId="3" fillId="0" borderId="8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18" borderId="0" xfId="0" applyFill="1" applyAlignment="1">
      <alignment horizontal="left"/>
    </xf>
    <xf numFmtId="1" fontId="0" fillId="18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88" fontId="0" fillId="0" borderId="0" xfId="0" applyNumberFormat="1" applyAlignment="1">
      <alignment/>
    </xf>
    <xf numFmtId="0" fontId="5" fillId="18" borderId="0" xfId="0" applyFont="1" applyFill="1" applyAlignment="1">
      <alignment horizontal="right"/>
    </xf>
    <xf numFmtId="188" fontId="0" fillId="18" borderId="0" xfId="0" applyNumberFormat="1" applyFill="1" applyAlignment="1">
      <alignment/>
    </xf>
    <xf numFmtId="0" fontId="0" fillId="11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left"/>
    </xf>
    <xf numFmtId="0" fontId="0" fillId="5" borderId="0" xfId="0" applyFill="1" applyAlignment="1">
      <alignment/>
    </xf>
    <xf numFmtId="0" fontId="24" fillId="5" borderId="0" xfId="0" applyFont="1" applyFill="1" applyAlignment="1">
      <alignment horizontal="center"/>
    </xf>
    <xf numFmtId="0" fontId="0" fillId="5" borderId="0" xfId="0" applyFill="1" applyAlignment="1">
      <alignment/>
    </xf>
    <xf numFmtId="224" fontId="0" fillId="18" borderId="0" xfId="23" applyNumberFormat="1" applyFill="1" applyAlignment="1">
      <alignment/>
    </xf>
    <xf numFmtId="224" fontId="32" fillId="10" borderId="0" xfId="23" applyNumberFormat="1" applyFont="1" applyFill="1" applyAlignment="1">
      <alignment/>
    </xf>
    <xf numFmtId="224" fontId="32" fillId="0" borderId="0" xfId="23" applyNumberFormat="1" applyFont="1" applyAlignment="1">
      <alignment/>
    </xf>
    <xf numFmtId="224" fontId="32" fillId="18" borderId="0" xfId="23" applyNumberFormat="1" applyFont="1" applyFill="1" applyAlignment="1">
      <alignment/>
    </xf>
    <xf numFmtId="224" fontId="32" fillId="18" borderId="0" xfId="23" applyNumberFormat="1" applyFont="1" applyFill="1" applyAlignment="1">
      <alignment horizontal="center"/>
    </xf>
    <xf numFmtId="188" fontId="3" fillId="0" borderId="22" xfId="22" applyNumberFormat="1" applyFont="1" applyFill="1" applyBorder="1" applyAlignment="1">
      <alignment horizontal="center"/>
      <protection/>
    </xf>
    <xf numFmtId="224" fontId="32" fillId="0" borderId="0" xfId="23" applyNumberFormat="1" applyFont="1" applyFill="1" applyAlignment="1">
      <alignment/>
    </xf>
    <xf numFmtId="188" fontId="5" fillId="28" borderId="0" xfId="0" applyNumberFormat="1" applyFont="1" applyFill="1" applyAlignment="1">
      <alignment/>
    </xf>
    <xf numFmtId="0" fontId="4" fillId="10" borderId="0" xfId="0" applyFont="1" applyFill="1" applyAlignment="1">
      <alignment horizontal="center" vertical="center" wrapText="1"/>
    </xf>
    <xf numFmtId="0" fontId="24" fillId="28" borderId="0" xfId="0" applyFont="1" applyFill="1" applyAlignment="1">
      <alignment horizontal="center" vertical="center"/>
    </xf>
    <xf numFmtId="0" fontId="12" fillId="0" borderId="22" xfId="22" applyFont="1" applyFill="1" applyBorder="1" applyAlignment="1">
      <alignment horizontal="center" wrapText="1"/>
      <protection/>
    </xf>
    <xf numFmtId="0" fontId="0" fillId="11" borderId="1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2" xfId="0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13" xfId="0" applyFill="1" applyBorder="1" applyAlignment="1">
      <alignment/>
    </xf>
    <xf numFmtId="0" fontId="3" fillId="0" borderId="45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right" vertical="center"/>
      <protection/>
    </xf>
    <xf numFmtId="0" fontId="12" fillId="3" borderId="45" xfId="0" applyNumberFormat="1" applyFont="1" applyFill="1" applyBorder="1" applyAlignment="1" applyProtection="1">
      <alignment horizontal="center" vertical="center"/>
      <protection locked="0"/>
    </xf>
    <xf numFmtId="0" fontId="12" fillId="3" borderId="46" xfId="0" applyNumberFormat="1" applyFont="1" applyFill="1" applyBorder="1" applyAlignment="1" applyProtection="1">
      <alignment horizontal="center" vertical="center"/>
      <protection locked="0"/>
    </xf>
    <xf numFmtId="0" fontId="4" fillId="3" borderId="7" xfId="0" applyNumberFormat="1" applyFont="1" applyFill="1" applyBorder="1" applyAlignment="1" applyProtection="1">
      <alignment horizontal="left" vertical="center"/>
      <protection locked="0"/>
    </xf>
    <xf numFmtId="0" fontId="4" fillId="3" borderId="8" xfId="0" applyNumberFormat="1" applyFont="1" applyFill="1" applyBorder="1" applyAlignment="1" applyProtection="1">
      <alignment horizontal="left" vertical="center"/>
      <protection locked="0"/>
    </xf>
    <xf numFmtId="0" fontId="4" fillId="3" borderId="9" xfId="0" applyNumberFormat="1" applyFont="1" applyFill="1" applyBorder="1" applyAlignment="1" applyProtection="1">
      <alignment horizontal="left" vertical="center"/>
      <protection locked="0"/>
    </xf>
    <xf numFmtId="0" fontId="4" fillId="0" borderId="44" xfId="0" applyNumberFormat="1" applyFont="1" applyFill="1" applyBorder="1" applyAlignment="1" applyProtection="1">
      <alignment horizontal="left" vertical="center"/>
      <protection locked="0"/>
    </xf>
    <xf numFmtId="0" fontId="4" fillId="0" borderId="45" xfId="0" applyNumberFormat="1" applyFont="1" applyFill="1" applyBorder="1" applyAlignment="1" applyProtection="1">
      <alignment horizontal="left" vertical="center"/>
      <protection locked="0"/>
    </xf>
    <xf numFmtId="0" fontId="4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right" vertical="center"/>
      <protection/>
    </xf>
    <xf numFmtId="0" fontId="4" fillId="3" borderId="45" xfId="0" applyNumberFormat="1" applyFont="1" applyFill="1" applyBorder="1" applyAlignment="1" applyProtection="1">
      <alignment horizontal="center" vertical="center"/>
      <protection locked="0"/>
    </xf>
    <xf numFmtId="0" fontId="4" fillId="3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4" fillId="3" borderId="44" xfId="0" applyNumberFormat="1" applyFont="1" applyFill="1" applyBorder="1" applyAlignment="1" applyProtection="1">
      <alignment horizontal="left" vertical="center"/>
      <protection locked="0"/>
    </xf>
    <xf numFmtId="0" fontId="4" fillId="3" borderId="45" xfId="0" applyNumberFormat="1" applyFont="1" applyFill="1" applyBorder="1" applyAlignment="1" applyProtection="1">
      <alignment horizontal="left" vertical="center"/>
      <protection locked="0"/>
    </xf>
    <xf numFmtId="0" fontId="4" fillId="3" borderId="46" xfId="0" applyNumberFormat="1" applyFont="1" applyFill="1" applyBorder="1" applyAlignment="1" applyProtection="1">
      <alignment horizontal="left" vertical="center"/>
      <protection locked="0"/>
    </xf>
    <xf numFmtId="0" fontId="0" fillId="26" borderId="12" xfId="0" applyFill="1" applyBorder="1" applyAlignment="1" applyProtection="1">
      <alignment vertical="center"/>
      <protection/>
    </xf>
    <xf numFmtId="0" fontId="0" fillId="26" borderId="11" xfId="0" applyFill="1" applyBorder="1" applyAlignment="1" applyProtection="1">
      <alignment vertical="center"/>
      <protection/>
    </xf>
    <xf numFmtId="0" fontId="0" fillId="26" borderId="13" xfId="0" applyFill="1" applyBorder="1" applyAlignment="1" applyProtection="1">
      <alignment vertical="center"/>
      <protection/>
    </xf>
    <xf numFmtId="0" fontId="0" fillId="26" borderId="1" xfId="0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/>
      <protection/>
    </xf>
    <xf numFmtId="0" fontId="0" fillId="26" borderId="10" xfId="0" applyFill="1" applyBorder="1" applyAlignment="1" applyProtection="1">
      <alignment horizontal="center"/>
      <protection/>
    </xf>
    <xf numFmtId="0" fontId="4" fillId="3" borderId="44" xfId="0" applyNumberFormat="1" applyFont="1" applyFill="1" applyBorder="1" applyAlignment="1" applyProtection="1">
      <alignment horizontal="center" vertical="center"/>
      <protection locked="0"/>
    </xf>
    <xf numFmtId="0" fontId="0" fillId="26" borderId="13" xfId="0" applyFill="1" applyBorder="1" applyAlignment="1" applyProtection="1">
      <alignment horizontal="right" vertical="top"/>
      <protection/>
    </xf>
    <xf numFmtId="0" fontId="6" fillId="26" borderId="7" xfId="0" applyFont="1" applyFill="1" applyBorder="1" applyAlignment="1" applyProtection="1">
      <alignment horizontal="center" vertical="center"/>
      <protection/>
    </xf>
    <xf numFmtId="0" fontId="6" fillId="26" borderId="8" xfId="0" applyFont="1" applyFill="1" applyBorder="1" applyAlignment="1" applyProtection="1">
      <alignment horizontal="center" vertical="center"/>
      <protection/>
    </xf>
    <xf numFmtId="0" fontId="6" fillId="26" borderId="9" xfId="0" applyFont="1" applyFill="1" applyBorder="1" applyAlignment="1" applyProtection="1">
      <alignment vertical="center"/>
      <protection/>
    </xf>
    <xf numFmtId="0" fontId="0" fillId="26" borderId="12" xfId="0" applyFont="1" applyFill="1" applyBorder="1" applyAlignment="1" applyProtection="1">
      <alignment horizontal="center" vertical="top"/>
      <protection/>
    </xf>
    <xf numFmtId="0" fontId="0" fillId="26" borderId="11" xfId="0" applyFont="1" applyFill="1" applyBorder="1" applyAlignment="1" applyProtection="1">
      <alignment horizontal="center" vertical="top"/>
      <protection/>
    </xf>
    <xf numFmtId="0" fontId="0" fillId="26" borderId="11" xfId="0" applyFill="1" applyBorder="1" applyAlignment="1" applyProtection="1">
      <alignment horizontal="right" vertical="top"/>
      <protection/>
    </xf>
    <xf numFmtId="0" fontId="13" fillId="26" borderId="30" xfId="0" applyFont="1" applyFill="1" applyBorder="1" applyAlignment="1" applyProtection="1">
      <alignment horizontal="center" vertical="center" textRotation="90"/>
      <protection/>
    </xf>
    <xf numFmtId="0" fontId="0" fillId="26" borderId="0" xfId="0" applyFill="1" applyBorder="1" applyAlignment="1" applyProtection="1">
      <alignment horizontal="center" vertical="top"/>
      <protection/>
    </xf>
    <xf numFmtId="0" fontId="0" fillId="26" borderId="10" xfId="0" applyFill="1" applyBorder="1" applyAlignment="1" applyProtection="1">
      <alignment horizontal="center" vertical="top"/>
      <protection/>
    </xf>
    <xf numFmtId="0" fontId="0" fillId="26" borderId="11" xfId="0" applyFill="1" applyBorder="1" applyAlignment="1" applyProtection="1">
      <alignment horizontal="center" vertical="top"/>
      <protection/>
    </xf>
    <xf numFmtId="0" fontId="0" fillId="26" borderId="13" xfId="0" applyFill="1" applyBorder="1" applyAlignment="1" applyProtection="1">
      <alignment horizontal="center" vertical="top"/>
      <protection/>
    </xf>
    <xf numFmtId="0" fontId="0" fillId="26" borderId="1" xfId="0" applyFont="1" applyFill="1" applyBorder="1" applyAlignment="1" applyProtection="1">
      <alignment horizontal="center" vertical="top"/>
      <protection/>
    </xf>
    <xf numFmtId="0" fontId="0" fillId="26" borderId="0" xfId="0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7" fillId="0" borderId="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26" borderId="12" xfId="0" applyFill="1" applyBorder="1" applyAlignment="1" applyProtection="1">
      <alignment horizontal="left" vertical="top"/>
      <protection/>
    </xf>
    <xf numFmtId="0" fontId="0" fillId="26" borderId="11" xfId="0" applyFill="1" applyBorder="1" applyAlignment="1" applyProtection="1">
      <alignment horizontal="left" vertical="top"/>
      <protection/>
    </xf>
    <xf numFmtId="0" fontId="13" fillId="26" borderId="28" xfId="0" applyFont="1" applyFill="1" applyBorder="1" applyAlignment="1" applyProtection="1">
      <alignment horizontal="center" vertical="center" textRotation="90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 vertical="top"/>
      <protection/>
    </xf>
    <xf numFmtId="0" fontId="13" fillId="26" borderId="45" xfId="0" applyFont="1" applyFill="1" applyBorder="1" applyAlignment="1" applyProtection="1">
      <alignment horizontal="center" vertical="center"/>
      <protection/>
    </xf>
    <xf numFmtId="0" fontId="13" fillId="26" borderId="46" xfId="0" applyFont="1" applyFill="1" applyBorder="1" applyAlignment="1" applyProtection="1">
      <alignment horizontal="center" vertical="center"/>
      <protection/>
    </xf>
    <xf numFmtId="0" fontId="2" fillId="26" borderId="12" xfId="0" applyFont="1" applyFill="1" applyBorder="1" applyAlignment="1" applyProtection="1">
      <alignment horizontal="center" vertical="center" wrapText="1"/>
      <protection/>
    </xf>
    <xf numFmtId="0" fontId="3" fillId="26" borderId="8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29" borderId="0" xfId="0" applyFill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3" fillId="26" borderId="44" xfId="0" applyFont="1" applyFill="1" applyBorder="1" applyAlignment="1" applyProtection="1">
      <alignment horizontal="center" vertical="center"/>
      <protection/>
    </xf>
    <xf numFmtId="0" fontId="40" fillId="11" borderId="7" xfId="0" applyFont="1" applyFill="1" applyBorder="1" applyAlignment="1">
      <alignment horizontal="center"/>
    </xf>
    <xf numFmtId="0" fontId="40" fillId="11" borderId="8" xfId="0" applyFont="1" applyFill="1" applyBorder="1" applyAlignment="1">
      <alignment horizontal="center"/>
    </xf>
    <xf numFmtId="0" fontId="40" fillId="11" borderId="9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22" fillId="0" borderId="1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0" fillId="9" borderId="1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0" fillId="0" borderId="10" xfId="0" applyFont="1" applyBorder="1" applyAlignment="1" applyProtection="1">
      <alignment horizontal="left" vertical="center" wrapText="1"/>
      <protection/>
    </xf>
    <xf numFmtId="0" fontId="30" fillId="0" borderId="11" xfId="0" applyFont="1" applyBorder="1" applyAlignment="1" applyProtection="1">
      <alignment horizontal="left" vertical="center" wrapText="1"/>
      <protection/>
    </xf>
    <xf numFmtId="0" fontId="30" fillId="0" borderId="13" xfId="0" applyFont="1" applyBorder="1" applyAlignment="1" applyProtection="1">
      <alignment horizontal="left" vertical="center" wrapText="1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0" fillId="26" borderId="0" xfId="0" applyFill="1" applyBorder="1" applyAlignment="1" applyProtection="1">
      <alignment vertical="center"/>
      <protection/>
    </xf>
    <xf numFmtId="0" fontId="0" fillId="26" borderId="0" xfId="0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 horizontal="center" vertical="center" wrapText="1"/>
      <protection/>
    </xf>
    <xf numFmtId="0" fontId="2" fillId="26" borderId="10" xfId="0" applyFont="1" applyFill="1" applyBorder="1" applyAlignment="1" applyProtection="1">
      <alignment horizontal="center" vertical="center" wrapText="1"/>
      <protection/>
    </xf>
    <xf numFmtId="0" fontId="2" fillId="26" borderId="11" xfId="0" applyFont="1" applyFill="1" applyBorder="1" applyAlignment="1" applyProtection="1">
      <alignment horizontal="center" vertical="center" wrapText="1"/>
      <protection/>
    </xf>
    <xf numFmtId="0" fontId="2" fillId="26" borderId="13" xfId="0" applyFont="1" applyFill="1" applyBorder="1" applyAlignment="1" applyProtection="1">
      <alignment horizontal="center" vertical="center" wrapText="1"/>
      <protection/>
    </xf>
    <xf numFmtId="0" fontId="2" fillId="26" borderId="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 textRotation="90" shrinkToFi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14" fontId="4" fillId="3" borderId="45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4" fillId="3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3" borderId="45" xfId="0" applyNumberFormat="1" applyFill="1" applyBorder="1" applyAlignment="1" applyProtection="1">
      <alignment horizontal="center" vertical="center"/>
      <protection locked="0"/>
    </xf>
    <xf numFmtId="0" fontId="0" fillId="3" borderId="46" xfId="0" applyNumberForma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top"/>
      <protection/>
    </xf>
    <xf numFmtId="0" fontId="0" fillId="0" borderId="11" xfId="0" applyBorder="1" applyAlignment="1" applyProtection="1">
      <alignment vertical="top"/>
      <protection/>
    </xf>
    <xf numFmtId="180" fontId="4" fillId="0" borderId="44" xfId="0" applyNumberFormat="1" applyFont="1" applyBorder="1" applyAlignment="1" applyProtection="1">
      <alignment horizontal="center" vertical="center"/>
      <protection/>
    </xf>
    <xf numFmtId="180" fontId="4" fillId="0" borderId="45" xfId="0" applyNumberFormat="1" applyFont="1" applyBorder="1" applyAlignment="1" applyProtection="1">
      <alignment horizontal="center" vertical="center"/>
      <protection/>
    </xf>
    <xf numFmtId="180" fontId="4" fillId="0" borderId="46" xfId="0" applyNumberFormat="1" applyFont="1" applyBorder="1" applyAlignment="1" applyProtection="1">
      <alignment horizontal="center" vertical="center"/>
      <protection/>
    </xf>
    <xf numFmtId="1" fontId="4" fillId="29" borderId="44" xfId="0" applyNumberFormat="1" applyFont="1" applyFill="1" applyBorder="1" applyAlignment="1" applyProtection="1">
      <alignment horizontal="center" vertical="center"/>
      <protection/>
    </xf>
    <xf numFmtId="1" fontId="0" fillId="29" borderId="45" xfId="0" applyNumberFormat="1" applyFill="1" applyBorder="1" applyAlignment="1" applyProtection="1">
      <alignment horizontal="center" vertical="center"/>
      <protection/>
    </xf>
    <xf numFmtId="1" fontId="0" fillId="29" borderId="46" xfId="0" applyNumberForma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14" fontId="12" fillId="3" borderId="45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left" vertical="top" wrapText="1"/>
      <protection locked="0"/>
    </xf>
    <xf numFmtId="0" fontId="0" fillId="3" borderId="0" xfId="0" applyNumberFormat="1" applyFill="1" applyAlignment="1" applyProtection="1">
      <alignment horizontal="left" vertical="top" wrapText="1"/>
      <protection locked="0"/>
    </xf>
    <xf numFmtId="0" fontId="0" fillId="3" borderId="0" xfId="0" applyNumberFormat="1" applyFill="1" applyBorder="1" applyAlignment="1" applyProtection="1">
      <alignment horizontal="left" vertical="top" wrapText="1"/>
      <protection locked="0"/>
    </xf>
    <xf numFmtId="0" fontId="0" fillId="3" borderId="11" xfId="0" applyNumberFormat="1" applyFill="1" applyBorder="1" applyAlignment="1" applyProtection="1">
      <alignment horizontal="left" vertical="top" wrapText="1"/>
      <protection locked="0"/>
    </xf>
    <xf numFmtId="0" fontId="17" fillId="0" borderId="7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49" fontId="4" fillId="3" borderId="44" xfId="0" applyNumberFormat="1" applyFont="1" applyFill="1" applyBorder="1" applyAlignment="1" applyProtection="1">
      <alignment horizontal="center" vertical="center"/>
      <protection locked="0"/>
    </xf>
    <xf numFmtId="49" fontId="0" fillId="3" borderId="45" xfId="0" applyNumberFormat="1" applyFill="1" applyBorder="1" applyAlignment="1" applyProtection="1">
      <alignment horizontal="center" vertical="center"/>
      <protection locked="0"/>
    </xf>
    <xf numFmtId="49" fontId="0" fillId="3" borderId="46" xfId="0" applyNumberForma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1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3" fillId="0" borderId="0" xfId="0" applyFont="1" applyBorder="1" applyAlignment="1" applyProtection="1">
      <alignment horizontal="center" textRotation="90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1" xfId="0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0" fontId="3" fillId="26" borderId="8" xfId="0" applyFont="1" applyFill="1" applyBorder="1" applyAlignment="1" applyProtection="1">
      <alignment vertical="top" wrapText="1"/>
      <protection/>
    </xf>
    <xf numFmtId="0" fontId="3" fillId="26" borderId="9" xfId="0" applyFont="1" applyFill="1" applyBorder="1" applyAlignment="1" applyProtection="1">
      <alignment vertical="top" wrapText="1"/>
      <protection/>
    </xf>
    <xf numFmtId="0" fontId="3" fillId="26" borderId="0" xfId="0" applyFont="1" applyFill="1" applyBorder="1" applyAlignment="1" applyProtection="1">
      <alignment vertical="top" wrapText="1"/>
      <protection/>
    </xf>
    <xf numFmtId="0" fontId="3" fillId="26" borderId="10" xfId="0" applyFont="1" applyFill="1" applyBorder="1" applyAlignment="1" applyProtection="1">
      <alignment vertical="top" wrapText="1"/>
      <protection/>
    </xf>
    <xf numFmtId="0" fontId="0" fillId="26" borderId="8" xfId="0" applyFill="1" applyBorder="1" applyAlignment="1" applyProtection="1">
      <alignment horizontal="center" vertical="center"/>
      <protection/>
    </xf>
    <xf numFmtId="0" fontId="0" fillId="26" borderId="11" xfId="0" applyFill="1" applyBorder="1" applyAlignment="1" applyProtection="1">
      <alignment horizontal="center" vertical="center"/>
      <protection/>
    </xf>
    <xf numFmtId="0" fontId="0" fillId="3" borderId="45" xfId="0" applyNumberFormat="1" applyFill="1" applyBorder="1" applyAlignment="1" applyProtection="1">
      <alignment horizontal="left" vertical="center"/>
      <protection locked="0"/>
    </xf>
    <xf numFmtId="0" fontId="0" fillId="3" borderId="46" xfId="0" applyNumberFormat="1" applyFill="1" applyBorder="1" applyAlignment="1" applyProtection="1">
      <alignment horizontal="left" vertical="center"/>
      <protection locked="0"/>
    </xf>
    <xf numFmtId="0" fontId="4" fillId="3" borderId="45" xfId="0" applyNumberFormat="1" applyFont="1" applyFill="1" applyBorder="1" applyAlignment="1" applyProtection="1">
      <alignment vertical="center"/>
      <protection locked="0"/>
    </xf>
    <xf numFmtId="0" fontId="4" fillId="3" borderId="46" xfId="0" applyNumberFormat="1" applyFont="1" applyFill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0" fillId="3" borderId="45" xfId="0" applyNumberFormat="1" applyFill="1" applyBorder="1" applyAlignment="1" applyProtection="1">
      <alignment horizontal="right" vertical="center"/>
      <protection locked="0"/>
    </xf>
    <xf numFmtId="0" fontId="0" fillId="3" borderId="46" xfId="0" applyNumberFormat="1" applyFill="1" applyBorder="1" applyAlignment="1" applyProtection="1">
      <alignment horizontal="right" vertical="center"/>
      <protection locked="0"/>
    </xf>
    <xf numFmtId="49" fontId="4" fillId="0" borderId="45" xfId="0" applyNumberFormat="1" applyFont="1" applyFill="1" applyBorder="1" applyAlignment="1" applyProtection="1">
      <alignment horizontal="left" vertical="center"/>
      <protection/>
    </xf>
    <xf numFmtId="49" fontId="4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top"/>
      <protection/>
    </xf>
    <xf numFmtId="0" fontId="3" fillId="0" borderId="45" xfId="0" applyFont="1" applyBorder="1" applyAlignment="1" applyProtection="1">
      <alignment horizontal="left" vertical="top"/>
      <protection/>
    </xf>
    <xf numFmtId="0" fontId="4" fillId="0" borderId="45" xfId="0" applyNumberFormat="1" applyFont="1" applyBorder="1" applyAlignment="1" applyProtection="1">
      <alignment vertical="center"/>
      <protection locked="0"/>
    </xf>
    <xf numFmtId="0" fontId="4" fillId="0" borderId="46" xfId="0" applyNumberFormat="1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 quotePrefix="1">
      <alignment horizontal="left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11" xfId="0" applyBorder="1" applyAlignment="1" applyProtection="1">
      <alignment horizontal="left" vertical="top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/>
      <protection/>
    </xf>
    <xf numFmtId="0" fontId="16" fillId="0" borderId="8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0" borderId="45" xfId="0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wrapText="1"/>
      <protection/>
    </xf>
    <xf numFmtId="0" fontId="22" fillId="0" borderId="10" xfId="0" applyFont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0" fillId="0" borderId="44" xfId="0" applyNumberFormat="1" applyFill="1" applyBorder="1" applyAlignment="1" applyProtection="1">
      <alignment horizontal="center" vertical="center"/>
      <protection locked="0"/>
    </xf>
    <xf numFmtId="0" fontId="0" fillId="0" borderId="45" xfId="0" applyNumberFormat="1" applyFill="1" applyBorder="1" applyAlignment="1" applyProtection="1">
      <alignment horizontal="center" vertical="center"/>
      <protection locked="0"/>
    </xf>
    <xf numFmtId="0" fontId="0" fillId="0" borderId="46" xfId="0" applyNumberForma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28" borderId="40" xfId="0" applyNumberFormat="1" applyFont="1" applyFill="1" applyBorder="1" applyAlignment="1" applyProtection="1">
      <alignment horizontal="center" vertical="center"/>
      <protection locked="0"/>
    </xf>
    <xf numFmtId="0" fontId="5" fillId="28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7" fillId="26" borderId="7" xfId="0" applyFont="1" applyFill="1" applyBorder="1" applyAlignment="1" applyProtection="1">
      <alignment horizontal="left" vertical="center"/>
      <protection/>
    </xf>
    <xf numFmtId="0" fontId="17" fillId="26" borderId="8" xfId="0" applyFont="1" applyFill="1" applyBorder="1" applyAlignment="1" applyProtection="1">
      <alignment horizontal="left" vertical="center"/>
      <protection/>
    </xf>
    <xf numFmtId="0" fontId="3" fillId="9" borderId="7" xfId="0" applyFont="1" applyFill="1" applyBorder="1" applyAlignment="1" applyProtection="1">
      <alignment horizontal="center"/>
      <protection/>
    </xf>
    <xf numFmtId="0" fontId="3" fillId="9" borderId="8" xfId="0" applyFont="1" applyFill="1" applyBorder="1" applyAlignment="1" applyProtection="1">
      <alignment horizontal="center"/>
      <protection/>
    </xf>
    <xf numFmtId="0" fontId="3" fillId="9" borderId="9" xfId="0" applyFont="1" applyFill="1" applyBorder="1" applyAlignment="1" applyProtection="1">
      <alignment horizontal="center"/>
      <protection/>
    </xf>
    <xf numFmtId="0" fontId="3" fillId="9" borderId="12" xfId="0" applyFont="1" applyFill="1" applyBorder="1" applyAlignment="1" applyProtection="1">
      <alignment horizontal="center" vertical="top"/>
      <protection/>
    </xf>
    <xf numFmtId="0" fontId="3" fillId="9" borderId="11" xfId="0" applyFont="1" applyFill="1" applyBorder="1" applyAlignment="1" applyProtection="1">
      <alignment horizontal="center" vertical="top"/>
      <protection/>
    </xf>
    <xf numFmtId="0" fontId="3" fillId="9" borderId="13" xfId="0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18" borderId="0" xfId="0" applyFont="1" applyFill="1" applyAlignment="1">
      <alignment horizontal="center" vertical="center"/>
    </xf>
    <xf numFmtId="0" fontId="0" fillId="18" borderId="0" xfId="0" applyFill="1" applyAlignment="1">
      <alignment horizontal="left"/>
    </xf>
    <xf numFmtId="0" fontId="25" fillId="28" borderId="54" xfId="0" applyFont="1" applyFill="1" applyBorder="1" applyAlignment="1">
      <alignment horizontal="center"/>
    </xf>
    <xf numFmtId="0" fontId="25" fillId="28" borderId="55" xfId="0" applyFont="1" applyFill="1" applyBorder="1" applyAlignment="1">
      <alignment horizontal="center"/>
    </xf>
    <xf numFmtId="0" fontId="25" fillId="28" borderId="22" xfId="0" applyFont="1" applyFill="1" applyBorder="1" applyAlignment="1">
      <alignment horizontal="center"/>
    </xf>
    <xf numFmtId="0" fontId="25" fillId="28" borderId="56" xfId="0" applyFont="1" applyFill="1" applyBorder="1" applyAlignment="1">
      <alignment horizontal="center"/>
    </xf>
    <xf numFmtId="0" fontId="25" fillId="28" borderId="57" xfId="0" applyFont="1" applyFill="1" applyBorder="1" applyAlignment="1">
      <alignment horizontal="center"/>
    </xf>
    <xf numFmtId="0" fontId="25" fillId="28" borderId="5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5" fillId="28" borderId="59" xfId="0" applyFont="1" applyFill="1" applyBorder="1" applyAlignment="1">
      <alignment horizontal="center"/>
    </xf>
    <xf numFmtId="0" fontId="25" fillId="28" borderId="60" xfId="0" applyFont="1" applyFill="1" applyBorder="1" applyAlignment="1">
      <alignment horizontal="center"/>
    </xf>
    <xf numFmtId="0" fontId="25" fillId="28" borderId="61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44" xfId="0" applyFont="1" applyBorder="1" applyAlignment="1">
      <alignment horizontal="left"/>
    </xf>
    <xf numFmtId="0" fontId="25" fillId="0" borderId="45" xfId="0" applyFont="1" applyBorder="1" applyAlignment="1">
      <alignment horizontal="left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5" fillId="0" borderId="44" xfId="0" applyFont="1" applyBorder="1" applyAlignment="1">
      <alignment horizontal="right"/>
    </xf>
    <xf numFmtId="0" fontId="25" fillId="0" borderId="45" xfId="0" applyFont="1" applyBorder="1" applyAlignment="1">
      <alignment horizontal="right"/>
    </xf>
    <xf numFmtId="14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 wrapText="1"/>
    </xf>
    <xf numFmtId="0" fontId="0" fillId="27" borderId="0" xfId="0" applyFill="1" applyAlignment="1">
      <alignment horizontal="center" wrapText="1"/>
    </xf>
    <xf numFmtId="0" fontId="0" fillId="10" borderId="0" xfId="0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2" fontId="0" fillId="6" borderId="20" xfId="0" applyNumberForma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0" fillId="3" borderId="40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11" borderId="40" xfId="0" applyFill="1" applyBorder="1" applyAlignment="1">
      <alignment horizontal="right"/>
    </xf>
    <xf numFmtId="0" fontId="0" fillId="11" borderId="62" xfId="0" applyFill="1" applyBorder="1" applyAlignment="1">
      <alignment horizontal="right"/>
    </xf>
    <xf numFmtId="0" fontId="33" fillId="0" borderId="2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16" xfId="0" applyFont="1" applyBorder="1" applyAlignment="1">
      <alignment horizontal="left"/>
    </xf>
    <xf numFmtId="0" fontId="33" fillId="0" borderId="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9" borderId="8" xfId="0" applyFont="1" applyFill="1" applyBorder="1" applyAlignment="1">
      <alignment horizontal="center" vertical="center" textRotation="90"/>
    </xf>
    <xf numFmtId="0" fontId="5" fillId="9" borderId="3" xfId="0" applyFont="1" applyFill="1" applyBorder="1" applyAlignment="1">
      <alignment horizontal="center" vertical="center" textRotation="90"/>
    </xf>
    <xf numFmtId="0" fontId="5" fillId="10" borderId="8" xfId="0" applyFont="1" applyFill="1" applyBorder="1" applyAlignment="1">
      <alignment horizontal="center" vertical="center" textRotation="90"/>
    </xf>
    <xf numFmtId="0" fontId="5" fillId="10" borderId="0" xfId="0" applyFont="1" applyFill="1" applyBorder="1" applyAlignment="1">
      <alignment horizontal="center" vertical="center" textRotation="90"/>
    </xf>
    <xf numFmtId="0" fontId="5" fillId="10" borderId="11" xfId="0" applyFont="1" applyFill="1" applyBorder="1" applyAlignment="1">
      <alignment horizontal="center" vertical="center" textRotation="90"/>
    </xf>
    <xf numFmtId="0" fontId="21" fillId="3" borderId="14" xfId="0" applyFont="1" applyFill="1" applyBorder="1" applyAlignment="1">
      <alignment horizontal="center" textRotation="90"/>
    </xf>
    <xf numFmtId="0" fontId="21" fillId="3" borderId="20" xfId="0" applyFont="1" applyFill="1" applyBorder="1" applyAlignment="1">
      <alignment horizontal="center" textRotation="90"/>
    </xf>
    <xf numFmtId="0" fontId="21" fillId="3" borderId="63" xfId="0" applyFont="1" applyFill="1" applyBorder="1" applyAlignment="1">
      <alignment horizontal="center" textRotation="90"/>
    </xf>
    <xf numFmtId="0" fontId="5" fillId="11" borderId="8" xfId="0" applyFont="1" applyFill="1" applyBorder="1" applyAlignment="1">
      <alignment horizontal="center" vertical="center" textRotation="90"/>
    </xf>
    <xf numFmtId="0" fontId="5" fillId="11" borderId="0" xfId="0" applyFont="1" applyFill="1" applyBorder="1" applyAlignment="1">
      <alignment horizontal="center" vertical="center" textRotation="90"/>
    </xf>
    <xf numFmtId="0" fontId="5" fillId="11" borderId="11" xfId="0" applyFont="1" applyFill="1" applyBorder="1" applyAlignment="1">
      <alignment horizontal="center" vertical="center" textRotation="90"/>
    </xf>
    <xf numFmtId="0" fontId="5" fillId="4" borderId="64" xfId="0" applyFont="1" applyFill="1" applyBorder="1" applyAlignment="1">
      <alignment horizontal="center" vertical="center" textRotation="90"/>
    </xf>
    <xf numFmtId="0" fontId="5" fillId="4" borderId="20" xfId="0" applyFont="1" applyFill="1" applyBorder="1" applyAlignment="1">
      <alignment horizontal="center" vertical="center" textRotation="90"/>
    </xf>
    <xf numFmtId="0" fontId="5" fillId="4" borderId="63" xfId="0" applyFont="1" applyFill="1" applyBorder="1" applyAlignment="1">
      <alignment horizontal="center" vertical="center" textRotation="90"/>
    </xf>
    <xf numFmtId="0" fontId="5" fillId="8" borderId="8" xfId="0" applyFont="1" applyFill="1" applyBorder="1" applyAlignment="1">
      <alignment horizontal="center" vertical="center" textRotation="90"/>
    </xf>
    <xf numFmtId="0" fontId="5" fillId="8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2" fontId="0" fillId="11" borderId="62" xfId="0" applyNumberFormat="1" applyFill="1" applyBorder="1" applyAlignment="1">
      <alignment horizontal="center"/>
    </xf>
    <xf numFmtId="2" fontId="0" fillId="11" borderId="43" xfId="0" applyNumberFormat="1" applyFill="1" applyBorder="1" applyAlignment="1">
      <alignment horizontal="center"/>
    </xf>
    <xf numFmtId="2" fontId="0" fillId="11" borderId="62" xfId="0" applyNumberFormat="1" applyFont="1" applyFill="1" applyBorder="1" applyAlignment="1">
      <alignment horizontal="center"/>
    </xf>
    <xf numFmtId="2" fontId="0" fillId="11" borderId="43" xfId="0" applyNumberFormat="1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</cellXfs>
  <cellStyles count="11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CC4000 BAUSTELLE" xfId="21"/>
    <cellStyle name="Standard_Checkliste_CC-3000_11" xfId="22"/>
    <cellStyle name="Currency" xfId="23"/>
    <cellStyle name="Currency [0]" xfId="24"/>
  </cellStyles>
  <dxfs count="4">
    <dxf>
      <fill>
        <patternFill>
          <bgColor rgb="FFC0C0C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CFFFF"/>
        </patternFill>
      </fill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8.jpeg" /><Relationship Id="rId6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14</xdr:row>
      <xdr:rowOff>9525</xdr:rowOff>
    </xdr:from>
    <xdr:to>
      <xdr:col>32</xdr:col>
      <xdr:colOff>38100</xdr:colOff>
      <xdr:row>20</xdr:row>
      <xdr:rowOff>76200</xdr:rowOff>
    </xdr:to>
    <xdr:grpSp>
      <xdr:nvGrpSpPr>
        <xdr:cNvPr id="1" name="Group 973"/>
        <xdr:cNvGrpSpPr>
          <a:grpSpLocks/>
        </xdr:cNvGrpSpPr>
      </xdr:nvGrpSpPr>
      <xdr:grpSpPr>
        <a:xfrm>
          <a:off x="4067175" y="3276600"/>
          <a:ext cx="2238375" cy="1552575"/>
          <a:chOff x="5786" y="7688"/>
          <a:chExt cx="2700" cy="1886"/>
        </a:xfrm>
        <a:solidFill>
          <a:srgbClr val="FFFFFF"/>
        </a:solidFill>
      </xdr:grpSpPr>
      <xdr:sp>
        <xdr:nvSpPr>
          <xdr:cNvPr id="2" name="AutoShape 974"/>
          <xdr:cNvSpPr>
            <a:spLocks/>
          </xdr:cNvSpPr>
        </xdr:nvSpPr>
        <xdr:spPr>
          <a:xfrm>
            <a:off x="5786" y="9506"/>
            <a:ext cx="157" cy="45"/>
          </a:xfrm>
          <a:custGeom>
            <a:pathLst>
              <a:path h="45" w="157">
                <a:moveTo>
                  <a:pt x="0" y="23"/>
                </a:moveTo>
                <a:lnTo>
                  <a:pt x="157" y="0"/>
                </a:lnTo>
                <a:lnTo>
                  <a:pt x="157" y="45"/>
                </a:lnTo>
                <a:lnTo>
                  <a:pt x="0" y="23"/>
                </a:lnTo>
              </a:path>
            </a:pathLst>
          </a:custGeom>
          <a:noFill/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975"/>
          <xdr:cNvSpPr>
            <a:spLocks/>
          </xdr:cNvSpPr>
        </xdr:nvSpPr>
        <xdr:spPr>
          <a:xfrm>
            <a:off x="5786" y="9506"/>
            <a:ext cx="157" cy="45"/>
          </a:xfrm>
          <a:custGeom>
            <a:pathLst>
              <a:path h="45" w="157">
                <a:moveTo>
                  <a:pt x="0" y="23"/>
                </a:moveTo>
                <a:lnTo>
                  <a:pt x="157" y="0"/>
                </a:lnTo>
                <a:lnTo>
                  <a:pt x="157" y="45"/>
                </a:lnTo>
                <a:lnTo>
                  <a:pt x="0" y="23"/>
                </a:lnTo>
                <a:close/>
              </a:path>
            </a:pathLst>
          </a:custGeom>
          <a:solidFill>
            <a:srgbClr val="000000"/>
          </a:solidFill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976"/>
          <xdr:cNvSpPr>
            <a:spLocks/>
          </xdr:cNvSpPr>
        </xdr:nvSpPr>
        <xdr:spPr>
          <a:xfrm>
            <a:off x="8328" y="9506"/>
            <a:ext cx="157" cy="45"/>
          </a:xfrm>
          <a:custGeom>
            <a:pathLst>
              <a:path h="45" w="157">
                <a:moveTo>
                  <a:pt x="157" y="23"/>
                </a:moveTo>
                <a:lnTo>
                  <a:pt x="0" y="45"/>
                </a:lnTo>
                <a:lnTo>
                  <a:pt x="0" y="0"/>
                </a:lnTo>
                <a:lnTo>
                  <a:pt x="157" y="23"/>
                </a:lnTo>
              </a:path>
            </a:pathLst>
          </a:custGeom>
          <a:noFill/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977"/>
          <xdr:cNvSpPr>
            <a:spLocks/>
          </xdr:cNvSpPr>
        </xdr:nvSpPr>
        <xdr:spPr>
          <a:xfrm>
            <a:off x="8328" y="9506"/>
            <a:ext cx="157" cy="45"/>
          </a:xfrm>
          <a:custGeom>
            <a:pathLst>
              <a:path h="45" w="157">
                <a:moveTo>
                  <a:pt x="157" y="23"/>
                </a:moveTo>
                <a:lnTo>
                  <a:pt x="0" y="45"/>
                </a:lnTo>
                <a:lnTo>
                  <a:pt x="0" y="0"/>
                </a:lnTo>
                <a:lnTo>
                  <a:pt x="157" y="23"/>
                </a:lnTo>
                <a:close/>
              </a:path>
            </a:pathLst>
          </a:custGeom>
          <a:solidFill>
            <a:srgbClr val="000000"/>
          </a:solidFill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978"/>
          <xdr:cNvSpPr>
            <a:spLocks/>
          </xdr:cNvSpPr>
        </xdr:nvSpPr>
        <xdr:spPr>
          <a:xfrm>
            <a:off x="5873" y="7710"/>
            <a:ext cx="158" cy="45"/>
          </a:xfrm>
          <a:custGeom>
            <a:pathLst>
              <a:path h="45" w="158">
                <a:moveTo>
                  <a:pt x="0" y="23"/>
                </a:moveTo>
                <a:lnTo>
                  <a:pt x="158" y="0"/>
                </a:lnTo>
                <a:lnTo>
                  <a:pt x="158" y="45"/>
                </a:lnTo>
                <a:lnTo>
                  <a:pt x="0" y="23"/>
                </a:lnTo>
              </a:path>
            </a:pathLst>
          </a:custGeom>
          <a:noFill/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979"/>
          <xdr:cNvSpPr>
            <a:spLocks/>
          </xdr:cNvSpPr>
        </xdr:nvSpPr>
        <xdr:spPr>
          <a:xfrm>
            <a:off x="5873" y="7710"/>
            <a:ext cx="158" cy="45"/>
          </a:xfrm>
          <a:custGeom>
            <a:pathLst>
              <a:path h="45" w="158">
                <a:moveTo>
                  <a:pt x="0" y="23"/>
                </a:moveTo>
                <a:lnTo>
                  <a:pt x="158" y="0"/>
                </a:lnTo>
                <a:lnTo>
                  <a:pt x="158" y="45"/>
                </a:lnTo>
                <a:lnTo>
                  <a:pt x="0" y="23"/>
                </a:lnTo>
                <a:close/>
              </a:path>
            </a:pathLst>
          </a:custGeom>
          <a:solidFill>
            <a:srgbClr val="000000"/>
          </a:solidFill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980"/>
          <xdr:cNvSpPr>
            <a:spLocks/>
          </xdr:cNvSpPr>
        </xdr:nvSpPr>
        <xdr:spPr>
          <a:xfrm>
            <a:off x="8241" y="7710"/>
            <a:ext cx="157" cy="45"/>
          </a:xfrm>
          <a:custGeom>
            <a:pathLst>
              <a:path h="45" w="157">
                <a:moveTo>
                  <a:pt x="157" y="23"/>
                </a:moveTo>
                <a:lnTo>
                  <a:pt x="0" y="45"/>
                </a:lnTo>
                <a:lnTo>
                  <a:pt x="0" y="0"/>
                </a:lnTo>
                <a:lnTo>
                  <a:pt x="157" y="23"/>
                </a:lnTo>
              </a:path>
            </a:pathLst>
          </a:custGeom>
          <a:noFill/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81"/>
          <xdr:cNvSpPr>
            <a:spLocks/>
          </xdr:cNvSpPr>
        </xdr:nvSpPr>
        <xdr:spPr>
          <a:xfrm>
            <a:off x="8241" y="7710"/>
            <a:ext cx="157" cy="45"/>
          </a:xfrm>
          <a:custGeom>
            <a:pathLst>
              <a:path h="45" w="157">
                <a:moveTo>
                  <a:pt x="157" y="23"/>
                </a:moveTo>
                <a:lnTo>
                  <a:pt x="0" y="45"/>
                </a:lnTo>
                <a:lnTo>
                  <a:pt x="0" y="0"/>
                </a:lnTo>
                <a:lnTo>
                  <a:pt x="157" y="23"/>
                </a:lnTo>
                <a:close/>
              </a:path>
            </a:pathLst>
          </a:custGeom>
          <a:solidFill>
            <a:srgbClr val="000000"/>
          </a:solidFill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982"/>
          <xdr:cNvSpPr>
            <a:spLocks/>
          </xdr:cNvSpPr>
        </xdr:nvSpPr>
        <xdr:spPr>
          <a:xfrm>
            <a:off x="5873" y="9207"/>
            <a:ext cx="158" cy="45"/>
          </a:xfrm>
          <a:custGeom>
            <a:pathLst>
              <a:path h="45" w="158">
                <a:moveTo>
                  <a:pt x="0" y="23"/>
                </a:moveTo>
                <a:lnTo>
                  <a:pt x="158" y="0"/>
                </a:lnTo>
                <a:lnTo>
                  <a:pt x="158" y="45"/>
                </a:lnTo>
                <a:lnTo>
                  <a:pt x="0" y="23"/>
                </a:lnTo>
              </a:path>
            </a:pathLst>
          </a:custGeom>
          <a:noFill/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983"/>
          <xdr:cNvSpPr>
            <a:spLocks/>
          </xdr:cNvSpPr>
        </xdr:nvSpPr>
        <xdr:spPr>
          <a:xfrm>
            <a:off x="5873" y="9207"/>
            <a:ext cx="158" cy="45"/>
          </a:xfrm>
          <a:custGeom>
            <a:pathLst>
              <a:path h="45" w="158">
                <a:moveTo>
                  <a:pt x="0" y="23"/>
                </a:moveTo>
                <a:lnTo>
                  <a:pt x="158" y="0"/>
                </a:lnTo>
                <a:lnTo>
                  <a:pt x="158" y="45"/>
                </a:lnTo>
                <a:lnTo>
                  <a:pt x="0" y="23"/>
                </a:lnTo>
                <a:close/>
              </a:path>
            </a:pathLst>
          </a:custGeom>
          <a:solidFill>
            <a:srgbClr val="000000"/>
          </a:solidFill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984"/>
          <xdr:cNvSpPr>
            <a:spLocks/>
          </xdr:cNvSpPr>
        </xdr:nvSpPr>
        <xdr:spPr>
          <a:xfrm>
            <a:off x="8241" y="9207"/>
            <a:ext cx="157" cy="45"/>
          </a:xfrm>
          <a:custGeom>
            <a:pathLst>
              <a:path h="45" w="157">
                <a:moveTo>
                  <a:pt x="157" y="23"/>
                </a:moveTo>
                <a:lnTo>
                  <a:pt x="0" y="45"/>
                </a:lnTo>
                <a:lnTo>
                  <a:pt x="0" y="0"/>
                </a:lnTo>
                <a:lnTo>
                  <a:pt x="157" y="23"/>
                </a:lnTo>
              </a:path>
            </a:pathLst>
          </a:custGeom>
          <a:noFill/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985"/>
          <xdr:cNvSpPr>
            <a:spLocks/>
          </xdr:cNvSpPr>
        </xdr:nvSpPr>
        <xdr:spPr>
          <a:xfrm>
            <a:off x="8241" y="9207"/>
            <a:ext cx="157" cy="45"/>
          </a:xfrm>
          <a:custGeom>
            <a:pathLst>
              <a:path h="45" w="157">
                <a:moveTo>
                  <a:pt x="157" y="23"/>
                </a:moveTo>
                <a:lnTo>
                  <a:pt x="0" y="45"/>
                </a:lnTo>
                <a:lnTo>
                  <a:pt x="0" y="0"/>
                </a:lnTo>
                <a:lnTo>
                  <a:pt x="157" y="23"/>
                </a:lnTo>
                <a:close/>
              </a:path>
            </a:pathLst>
          </a:custGeom>
          <a:solidFill>
            <a:srgbClr val="000000"/>
          </a:solidFill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986"/>
          <xdr:cNvSpPr>
            <a:spLocks/>
          </xdr:cNvSpPr>
        </xdr:nvSpPr>
        <xdr:spPr>
          <a:xfrm>
            <a:off x="5873" y="8238"/>
            <a:ext cx="158" cy="45"/>
          </a:xfrm>
          <a:custGeom>
            <a:pathLst>
              <a:path h="45" w="158">
                <a:moveTo>
                  <a:pt x="0" y="22"/>
                </a:moveTo>
                <a:lnTo>
                  <a:pt x="158" y="0"/>
                </a:lnTo>
                <a:lnTo>
                  <a:pt x="158" y="45"/>
                </a:lnTo>
                <a:lnTo>
                  <a:pt x="0" y="22"/>
                </a:lnTo>
              </a:path>
            </a:pathLst>
          </a:custGeom>
          <a:noFill/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987"/>
          <xdr:cNvSpPr>
            <a:spLocks/>
          </xdr:cNvSpPr>
        </xdr:nvSpPr>
        <xdr:spPr>
          <a:xfrm>
            <a:off x="5873" y="8238"/>
            <a:ext cx="158" cy="45"/>
          </a:xfrm>
          <a:custGeom>
            <a:pathLst>
              <a:path h="45" w="158">
                <a:moveTo>
                  <a:pt x="0" y="22"/>
                </a:moveTo>
                <a:lnTo>
                  <a:pt x="158" y="0"/>
                </a:lnTo>
                <a:lnTo>
                  <a:pt x="158" y="45"/>
                </a:lnTo>
                <a:lnTo>
                  <a:pt x="0" y="22"/>
                </a:lnTo>
                <a:close/>
              </a:path>
            </a:pathLst>
          </a:custGeom>
          <a:solidFill>
            <a:srgbClr val="000000"/>
          </a:solidFill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988"/>
          <xdr:cNvSpPr>
            <a:spLocks/>
          </xdr:cNvSpPr>
        </xdr:nvSpPr>
        <xdr:spPr>
          <a:xfrm>
            <a:off x="8241" y="8238"/>
            <a:ext cx="157" cy="45"/>
          </a:xfrm>
          <a:custGeom>
            <a:pathLst>
              <a:path h="45" w="157">
                <a:moveTo>
                  <a:pt x="157" y="22"/>
                </a:moveTo>
                <a:lnTo>
                  <a:pt x="0" y="45"/>
                </a:lnTo>
                <a:lnTo>
                  <a:pt x="0" y="0"/>
                </a:lnTo>
                <a:lnTo>
                  <a:pt x="157" y="22"/>
                </a:lnTo>
              </a:path>
            </a:pathLst>
          </a:custGeom>
          <a:noFill/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989"/>
          <xdr:cNvSpPr>
            <a:spLocks/>
          </xdr:cNvSpPr>
        </xdr:nvSpPr>
        <xdr:spPr>
          <a:xfrm>
            <a:off x="8241" y="8238"/>
            <a:ext cx="157" cy="45"/>
          </a:xfrm>
          <a:custGeom>
            <a:pathLst>
              <a:path h="45" w="157">
                <a:moveTo>
                  <a:pt x="157" y="22"/>
                </a:moveTo>
                <a:lnTo>
                  <a:pt x="0" y="45"/>
                </a:lnTo>
                <a:lnTo>
                  <a:pt x="0" y="0"/>
                </a:lnTo>
                <a:lnTo>
                  <a:pt x="157" y="22"/>
                </a:lnTo>
                <a:close/>
              </a:path>
            </a:pathLst>
          </a:custGeom>
          <a:solidFill>
            <a:srgbClr val="000000"/>
          </a:solidFill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990"/>
          <xdr:cNvSpPr>
            <a:spLocks/>
          </xdr:cNvSpPr>
        </xdr:nvSpPr>
        <xdr:spPr>
          <a:xfrm>
            <a:off x="5786" y="9021"/>
            <a:ext cx="1" cy="553"/>
          </a:xfrm>
          <a:prstGeom prst="line">
            <a:avLst/>
          </a:prstGeom>
          <a:solidFill>
            <a:srgbClr val="FFFFFF"/>
          </a:solidFill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991"/>
          <xdr:cNvSpPr>
            <a:spLocks/>
          </xdr:cNvSpPr>
        </xdr:nvSpPr>
        <xdr:spPr>
          <a:xfrm>
            <a:off x="5873" y="8932"/>
            <a:ext cx="1" cy="343"/>
          </a:xfrm>
          <a:prstGeom prst="line">
            <a:avLst/>
          </a:prstGeom>
          <a:solidFill>
            <a:srgbClr val="FFFFFF"/>
          </a:solidFill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992"/>
          <xdr:cNvSpPr>
            <a:spLocks/>
          </xdr:cNvSpPr>
        </xdr:nvSpPr>
        <xdr:spPr>
          <a:xfrm flipV="1">
            <a:off x="5873" y="7688"/>
            <a:ext cx="1" cy="295"/>
          </a:xfrm>
          <a:prstGeom prst="line">
            <a:avLst/>
          </a:prstGeom>
          <a:solidFill>
            <a:srgbClr val="FFFFFF"/>
          </a:solidFill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993"/>
          <xdr:cNvSpPr>
            <a:spLocks/>
          </xdr:cNvSpPr>
        </xdr:nvSpPr>
        <xdr:spPr>
          <a:xfrm>
            <a:off x="5786" y="9529"/>
            <a:ext cx="2699" cy="1"/>
          </a:xfrm>
          <a:prstGeom prst="line">
            <a:avLst/>
          </a:prstGeom>
          <a:solidFill>
            <a:srgbClr val="FFFFFF"/>
          </a:solidFill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994"/>
          <xdr:cNvSpPr>
            <a:spLocks/>
          </xdr:cNvSpPr>
        </xdr:nvSpPr>
        <xdr:spPr>
          <a:xfrm>
            <a:off x="5873" y="9230"/>
            <a:ext cx="2525" cy="1"/>
          </a:xfrm>
          <a:prstGeom prst="line">
            <a:avLst/>
          </a:prstGeom>
          <a:solidFill>
            <a:srgbClr val="FFFFFF"/>
          </a:solidFill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995"/>
          <xdr:cNvSpPr>
            <a:spLocks/>
          </xdr:cNvSpPr>
        </xdr:nvSpPr>
        <xdr:spPr>
          <a:xfrm>
            <a:off x="5873" y="8260"/>
            <a:ext cx="2525" cy="1"/>
          </a:xfrm>
          <a:prstGeom prst="line">
            <a:avLst/>
          </a:prstGeom>
          <a:solidFill>
            <a:srgbClr val="FFFFFF"/>
          </a:solidFill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996"/>
          <xdr:cNvSpPr>
            <a:spLocks/>
          </xdr:cNvSpPr>
        </xdr:nvSpPr>
        <xdr:spPr>
          <a:xfrm>
            <a:off x="5873" y="7733"/>
            <a:ext cx="2525" cy="1"/>
          </a:xfrm>
          <a:prstGeom prst="line">
            <a:avLst/>
          </a:prstGeom>
          <a:solidFill>
            <a:srgbClr val="FFFFFF"/>
          </a:solidFill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997"/>
          <xdr:cNvSpPr>
            <a:spLocks/>
          </xdr:cNvSpPr>
        </xdr:nvSpPr>
        <xdr:spPr>
          <a:xfrm>
            <a:off x="8398" y="8932"/>
            <a:ext cx="1" cy="343"/>
          </a:xfrm>
          <a:prstGeom prst="line">
            <a:avLst/>
          </a:prstGeom>
          <a:solidFill>
            <a:srgbClr val="FFFFFF"/>
          </a:solidFill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998"/>
          <xdr:cNvSpPr>
            <a:spLocks/>
          </xdr:cNvSpPr>
        </xdr:nvSpPr>
        <xdr:spPr>
          <a:xfrm flipV="1">
            <a:off x="8398" y="7688"/>
            <a:ext cx="1" cy="295"/>
          </a:xfrm>
          <a:prstGeom prst="line">
            <a:avLst/>
          </a:prstGeom>
          <a:solidFill>
            <a:srgbClr val="FFFFFF"/>
          </a:solidFill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999"/>
          <xdr:cNvSpPr>
            <a:spLocks/>
          </xdr:cNvSpPr>
        </xdr:nvSpPr>
        <xdr:spPr>
          <a:xfrm>
            <a:off x="8485" y="9021"/>
            <a:ext cx="1" cy="553"/>
          </a:xfrm>
          <a:prstGeom prst="line">
            <a:avLst/>
          </a:prstGeom>
          <a:solidFill>
            <a:srgbClr val="FFFFFF"/>
          </a:solidFill>
          <a:ln w="57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1000"/>
          <xdr:cNvSpPr>
            <a:spLocks/>
          </xdr:cNvSpPr>
        </xdr:nvSpPr>
        <xdr:spPr>
          <a:xfrm>
            <a:off x="5786" y="7894"/>
            <a:ext cx="1" cy="1127"/>
          </a:xfrm>
          <a:prstGeom prst="line">
            <a:avLst/>
          </a:prstGeom>
          <a:solidFill>
            <a:srgbClr val="FFFFFF"/>
          </a:solidFill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1001"/>
          <xdr:cNvSpPr>
            <a:spLocks/>
          </xdr:cNvSpPr>
        </xdr:nvSpPr>
        <xdr:spPr>
          <a:xfrm>
            <a:off x="5873" y="7983"/>
            <a:ext cx="1" cy="949"/>
          </a:xfrm>
          <a:prstGeom prst="line">
            <a:avLst/>
          </a:prstGeom>
          <a:solidFill>
            <a:srgbClr val="FFFFFF"/>
          </a:solidFill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1002"/>
          <xdr:cNvSpPr>
            <a:spLocks/>
          </xdr:cNvSpPr>
        </xdr:nvSpPr>
        <xdr:spPr>
          <a:xfrm>
            <a:off x="5878" y="7989"/>
            <a:ext cx="1" cy="937"/>
          </a:xfrm>
          <a:prstGeom prst="line">
            <a:avLst/>
          </a:prstGeom>
          <a:solidFill>
            <a:srgbClr val="FFFFFF"/>
          </a:solidFill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1003"/>
          <xdr:cNvSpPr>
            <a:spLocks/>
          </xdr:cNvSpPr>
        </xdr:nvSpPr>
        <xdr:spPr>
          <a:xfrm>
            <a:off x="5786" y="9021"/>
            <a:ext cx="2699" cy="1"/>
          </a:xfrm>
          <a:prstGeom prst="line">
            <a:avLst/>
          </a:prstGeom>
          <a:solidFill>
            <a:srgbClr val="FFFFFF"/>
          </a:solidFill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1004"/>
          <xdr:cNvSpPr>
            <a:spLocks/>
          </xdr:cNvSpPr>
        </xdr:nvSpPr>
        <xdr:spPr>
          <a:xfrm>
            <a:off x="5873" y="8932"/>
            <a:ext cx="2525" cy="1"/>
          </a:xfrm>
          <a:prstGeom prst="line">
            <a:avLst/>
          </a:prstGeom>
          <a:solidFill>
            <a:srgbClr val="FFFFFF"/>
          </a:solidFill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1005"/>
          <xdr:cNvSpPr>
            <a:spLocks/>
          </xdr:cNvSpPr>
        </xdr:nvSpPr>
        <xdr:spPr>
          <a:xfrm>
            <a:off x="5878" y="8926"/>
            <a:ext cx="2513" cy="1"/>
          </a:xfrm>
          <a:prstGeom prst="line">
            <a:avLst/>
          </a:prstGeom>
          <a:solidFill>
            <a:srgbClr val="FFFFFF"/>
          </a:solidFill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1006"/>
          <xdr:cNvSpPr>
            <a:spLocks/>
          </xdr:cNvSpPr>
        </xdr:nvSpPr>
        <xdr:spPr>
          <a:xfrm flipH="1">
            <a:off x="5878" y="7989"/>
            <a:ext cx="2513" cy="1"/>
          </a:xfrm>
          <a:prstGeom prst="line">
            <a:avLst/>
          </a:prstGeom>
          <a:solidFill>
            <a:srgbClr val="FFFFFF"/>
          </a:solidFill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1007"/>
          <xdr:cNvSpPr>
            <a:spLocks/>
          </xdr:cNvSpPr>
        </xdr:nvSpPr>
        <xdr:spPr>
          <a:xfrm flipH="1">
            <a:off x="5873" y="7983"/>
            <a:ext cx="2525" cy="1"/>
          </a:xfrm>
          <a:prstGeom prst="line">
            <a:avLst/>
          </a:prstGeom>
          <a:solidFill>
            <a:srgbClr val="FFFFFF"/>
          </a:solidFill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1008"/>
          <xdr:cNvSpPr>
            <a:spLocks/>
          </xdr:cNvSpPr>
        </xdr:nvSpPr>
        <xdr:spPr>
          <a:xfrm flipH="1">
            <a:off x="5786" y="7894"/>
            <a:ext cx="2699" cy="1"/>
          </a:xfrm>
          <a:prstGeom prst="line">
            <a:avLst/>
          </a:prstGeom>
          <a:solidFill>
            <a:srgbClr val="FFFFFF"/>
          </a:solidFill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1009"/>
          <xdr:cNvSpPr>
            <a:spLocks/>
          </xdr:cNvSpPr>
        </xdr:nvSpPr>
        <xdr:spPr>
          <a:xfrm flipV="1">
            <a:off x="8391" y="7989"/>
            <a:ext cx="1" cy="937"/>
          </a:xfrm>
          <a:prstGeom prst="line">
            <a:avLst/>
          </a:prstGeom>
          <a:solidFill>
            <a:srgbClr val="FFFFFF"/>
          </a:solidFill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1010"/>
          <xdr:cNvSpPr>
            <a:spLocks/>
          </xdr:cNvSpPr>
        </xdr:nvSpPr>
        <xdr:spPr>
          <a:xfrm flipV="1">
            <a:off x="8398" y="7983"/>
            <a:ext cx="1" cy="949"/>
          </a:xfrm>
          <a:prstGeom prst="line">
            <a:avLst/>
          </a:prstGeom>
          <a:solidFill>
            <a:srgbClr val="FFFFFF"/>
          </a:solidFill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1011"/>
          <xdr:cNvSpPr>
            <a:spLocks/>
          </xdr:cNvSpPr>
        </xdr:nvSpPr>
        <xdr:spPr>
          <a:xfrm flipV="1">
            <a:off x="8485" y="7894"/>
            <a:ext cx="1" cy="1127"/>
          </a:xfrm>
          <a:prstGeom prst="line">
            <a:avLst/>
          </a:prstGeom>
          <a:solidFill>
            <a:srgbClr val="FFFFFF"/>
          </a:solidFill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</xdr:colOff>
      <xdr:row>72</xdr:row>
      <xdr:rowOff>104775</xdr:rowOff>
    </xdr:from>
    <xdr:to>
      <xdr:col>34</xdr:col>
      <xdr:colOff>28575</xdr:colOff>
      <xdr:row>77</xdr:row>
      <xdr:rowOff>152400</xdr:rowOff>
    </xdr:to>
    <xdr:grpSp>
      <xdr:nvGrpSpPr>
        <xdr:cNvPr id="40" name="Group 28"/>
        <xdr:cNvGrpSpPr>
          <a:grpSpLocks/>
        </xdr:cNvGrpSpPr>
      </xdr:nvGrpSpPr>
      <xdr:grpSpPr>
        <a:xfrm>
          <a:off x="5676900" y="16192500"/>
          <a:ext cx="1019175" cy="1238250"/>
          <a:chOff x="2880" y="4059"/>
          <a:chExt cx="779" cy="630"/>
        </a:xfrm>
        <a:solidFill>
          <a:srgbClr val="FFFFFF"/>
        </a:solidFill>
      </xdr:grpSpPr>
      <xdr:sp>
        <xdr:nvSpPr>
          <xdr:cNvPr id="41" name="AutoShape 29"/>
          <xdr:cNvSpPr>
            <a:spLocks/>
          </xdr:cNvSpPr>
        </xdr:nvSpPr>
        <xdr:spPr>
          <a:xfrm flipH="1">
            <a:off x="2880" y="4059"/>
            <a:ext cx="108" cy="8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30"/>
          <xdr:cNvSpPr>
            <a:spLocks/>
          </xdr:cNvSpPr>
        </xdr:nvSpPr>
        <xdr:spPr>
          <a:xfrm>
            <a:off x="2880" y="4146"/>
            <a:ext cx="1" cy="455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31"/>
          <xdr:cNvSpPr>
            <a:spLocks/>
          </xdr:cNvSpPr>
        </xdr:nvSpPr>
        <xdr:spPr>
          <a:xfrm flipV="1">
            <a:off x="2887" y="4153"/>
            <a:ext cx="1" cy="442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32"/>
          <xdr:cNvSpPr>
            <a:spLocks/>
          </xdr:cNvSpPr>
        </xdr:nvSpPr>
        <xdr:spPr>
          <a:xfrm flipV="1">
            <a:off x="2995" y="4167"/>
            <a:ext cx="1" cy="342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33"/>
          <xdr:cNvSpPr>
            <a:spLocks/>
          </xdr:cNvSpPr>
        </xdr:nvSpPr>
        <xdr:spPr>
          <a:xfrm>
            <a:off x="2881" y="4601"/>
            <a:ext cx="669" cy="88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34"/>
          <xdr:cNvSpPr>
            <a:spLocks/>
          </xdr:cNvSpPr>
        </xdr:nvSpPr>
        <xdr:spPr>
          <a:xfrm flipH="1" flipV="1">
            <a:off x="2887" y="4595"/>
            <a:ext cx="656" cy="8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35"/>
          <xdr:cNvSpPr>
            <a:spLocks/>
          </xdr:cNvSpPr>
        </xdr:nvSpPr>
        <xdr:spPr>
          <a:xfrm>
            <a:off x="3207" y="4139"/>
            <a:ext cx="5" cy="7"/>
          </a:xfrm>
          <a:custGeom>
            <a:pathLst>
              <a:path h="7" w="5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0" y="7"/>
                </a:lnTo>
              </a:path>
            </a:pathLst>
          </a:custGeom>
          <a:noFill/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36"/>
          <xdr:cNvSpPr>
            <a:spLocks/>
          </xdr:cNvSpPr>
        </xdr:nvSpPr>
        <xdr:spPr>
          <a:xfrm flipH="1">
            <a:off x="3210" y="4145"/>
            <a:ext cx="2" cy="2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37"/>
          <xdr:cNvSpPr>
            <a:spLocks/>
          </xdr:cNvSpPr>
        </xdr:nvSpPr>
        <xdr:spPr>
          <a:xfrm flipH="1">
            <a:off x="3208" y="4147"/>
            <a:ext cx="2" cy="2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38"/>
          <xdr:cNvSpPr>
            <a:spLocks/>
          </xdr:cNvSpPr>
        </xdr:nvSpPr>
        <xdr:spPr>
          <a:xfrm flipH="1" flipV="1">
            <a:off x="2995" y="4509"/>
            <a:ext cx="548" cy="71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39"/>
          <xdr:cNvSpPr>
            <a:spLocks/>
          </xdr:cNvSpPr>
        </xdr:nvSpPr>
        <xdr:spPr>
          <a:xfrm>
            <a:off x="3326" y="4146"/>
            <a:ext cx="5" cy="7"/>
          </a:xfrm>
          <a:custGeom>
            <a:pathLst>
              <a:path h="7" w="5">
                <a:moveTo>
                  <a:pt x="0" y="7"/>
                </a:moveTo>
                <a:lnTo>
                  <a:pt x="2" y="6"/>
                </a:lnTo>
                <a:lnTo>
                  <a:pt x="4" y="4"/>
                </a:lnTo>
                <a:lnTo>
                  <a:pt x="4" y="2"/>
                </a:lnTo>
                <a:lnTo>
                  <a:pt x="5" y="0"/>
                </a:lnTo>
              </a:path>
            </a:pathLst>
          </a:custGeom>
          <a:noFill/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40"/>
          <xdr:cNvSpPr>
            <a:spLocks/>
          </xdr:cNvSpPr>
        </xdr:nvSpPr>
        <xdr:spPr>
          <a:xfrm>
            <a:off x="3212" y="4582"/>
            <a:ext cx="116" cy="14"/>
          </a:xfrm>
          <a:custGeom>
            <a:pathLst>
              <a:path h="14" w="116">
                <a:moveTo>
                  <a:pt x="116" y="14"/>
                </a:moveTo>
                <a:lnTo>
                  <a:pt x="114" y="12"/>
                </a:lnTo>
                <a:lnTo>
                  <a:pt x="111" y="10"/>
                </a:lnTo>
                <a:lnTo>
                  <a:pt x="108" y="8"/>
                </a:lnTo>
                <a:lnTo>
                  <a:pt x="105" y="7"/>
                </a:lnTo>
                <a:lnTo>
                  <a:pt x="101" y="6"/>
                </a:lnTo>
                <a:lnTo>
                  <a:pt x="96" y="4"/>
                </a:lnTo>
                <a:lnTo>
                  <a:pt x="91" y="3"/>
                </a:lnTo>
                <a:lnTo>
                  <a:pt x="86" y="2"/>
                </a:lnTo>
                <a:lnTo>
                  <a:pt x="81" y="1"/>
                </a:lnTo>
                <a:lnTo>
                  <a:pt x="75" y="1"/>
                </a:lnTo>
                <a:lnTo>
                  <a:pt x="69" y="0"/>
                </a:lnTo>
                <a:lnTo>
                  <a:pt x="63" y="0"/>
                </a:lnTo>
                <a:lnTo>
                  <a:pt x="57" y="0"/>
                </a:lnTo>
                <a:lnTo>
                  <a:pt x="51" y="0"/>
                </a:lnTo>
                <a:lnTo>
                  <a:pt x="45" y="0"/>
                </a:lnTo>
                <a:lnTo>
                  <a:pt x="39" y="1"/>
                </a:lnTo>
                <a:lnTo>
                  <a:pt x="34" y="1"/>
                </a:lnTo>
                <a:lnTo>
                  <a:pt x="28" y="2"/>
                </a:lnTo>
                <a:lnTo>
                  <a:pt x="22" y="3"/>
                </a:lnTo>
                <a:lnTo>
                  <a:pt x="17" y="4"/>
                </a:lnTo>
                <a:lnTo>
                  <a:pt x="13" y="6"/>
                </a:lnTo>
                <a:lnTo>
                  <a:pt x="9" y="7"/>
                </a:lnTo>
                <a:lnTo>
                  <a:pt x="5" y="9"/>
                </a:lnTo>
                <a:lnTo>
                  <a:pt x="2" y="10"/>
                </a:lnTo>
                <a:lnTo>
                  <a:pt x="0" y="12"/>
                </a:lnTo>
              </a:path>
            </a:pathLst>
          </a:custGeom>
          <a:noFill/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41"/>
          <xdr:cNvSpPr>
            <a:spLocks/>
          </xdr:cNvSpPr>
        </xdr:nvSpPr>
        <xdr:spPr>
          <a:xfrm>
            <a:off x="3207" y="4595"/>
            <a:ext cx="119" cy="20"/>
          </a:xfrm>
          <a:custGeom>
            <a:pathLst>
              <a:path h="20" w="119">
                <a:moveTo>
                  <a:pt x="0" y="0"/>
                </a:moveTo>
                <a:lnTo>
                  <a:pt x="1" y="2"/>
                </a:lnTo>
                <a:lnTo>
                  <a:pt x="2" y="4"/>
                </a:lnTo>
                <a:lnTo>
                  <a:pt x="3" y="6"/>
                </a:lnTo>
                <a:lnTo>
                  <a:pt x="5" y="8"/>
                </a:lnTo>
                <a:lnTo>
                  <a:pt x="8" y="9"/>
                </a:lnTo>
                <a:lnTo>
                  <a:pt x="11" y="11"/>
                </a:lnTo>
                <a:lnTo>
                  <a:pt x="15" y="13"/>
                </a:lnTo>
                <a:lnTo>
                  <a:pt x="19" y="14"/>
                </a:lnTo>
                <a:lnTo>
                  <a:pt x="23" y="15"/>
                </a:lnTo>
                <a:lnTo>
                  <a:pt x="28" y="16"/>
                </a:lnTo>
                <a:lnTo>
                  <a:pt x="34" y="17"/>
                </a:lnTo>
                <a:lnTo>
                  <a:pt x="40" y="18"/>
                </a:lnTo>
                <a:lnTo>
                  <a:pt x="45" y="19"/>
                </a:lnTo>
                <a:lnTo>
                  <a:pt x="51" y="19"/>
                </a:lnTo>
                <a:lnTo>
                  <a:pt x="57" y="20"/>
                </a:lnTo>
                <a:lnTo>
                  <a:pt x="63" y="20"/>
                </a:lnTo>
                <a:lnTo>
                  <a:pt x="69" y="19"/>
                </a:lnTo>
                <a:lnTo>
                  <a:pt x="75" y="19"/>
                </a:lnTo>
                <a:lnTo>
                  <a:pt x="81" y="19"/>
                </a:lnTo>
                <a:lnTo>
                  <a:pt x="87" y="18"/>
                </a:lnTo>
                <a:lnTo>
                  <a:pt x="92" y="17"/>
                </a:lnTo>
                <a:lnTo>
                  <a:pt x="97" y="16"/>
                </a:lnTo>
                <a:lnTo>
                  <a:pt x="102" y="15"/>
                </a:lnTo>
                <a:lnTo>
                  <a:pt x="106" y="14"/>
                </a:lnTo>
                <a:lnTo>
                  <a:pt x="110" y="12"/>
                </a:lnTo>
                <a:lnTo>
                  <a:pt x="114" y="11"/>
                </a:lnTo>
                <a:lnTo>
                  <a:pt x="117" y="9"/>
                </a:lnTo>
                <a:lnTo>
                  <a:pt x="119" y="7"/>
                </a:lnTo>
              </a:path>
            </a:pathLst>
          </a:custGeom>
          <a:noFill/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42"/>
          <xdr:cNvSpPr>
            <a:spLocks/>
          </xdr:cNvSpPr>
        </xdr:nvSpPr>
        <xdr:spPr>
          <a:xfrm flipH="1">
            <a:off x="2887" y="4509"/>
            <a:ext cx="108" cy="8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43"/>
          <xdr:cNvSpPr>
            <a:spLocks/>
          </xdr:cNvSpPr>
        </xdr:nvSpPr>
        <xdr:spPr>
          <a:xfrm flipH="1" flipV="1">
            <a:off x="3328" y="4596"/>
            <a:ext cx="2" cy="2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44"/>
          <xdr:cNvSpPr>
            <a:spLocks/>
          </xdr:cNvSpPr>
        </xdr:nvSpPr>
        <xdr:spPr>
          <a:xfrm>
            <a:off x="3207" y="4146"/>
            <a:ext cx="119" cy="20"/>
          </a:xfrm>
          <a:custGeom>
            <a:pathLst>
              <a:path h="20" w="119">
                <a:moveTo>
                  <a:pt x="0" y="0"/>
                </a:moveTo>
                <a:lnTo>
                  <a:pt x="1" y="2"/>
                </a:lnTo>
                <a:lnTo>
                  <a:pt x="2" y="4"/>
                </a:lnTo>
                <a:lnTo>
                  <a:pt x="3" y="6"/>
                </a:lnTo>
                <a:lnTo>
                  <a:pt x="5" y="8"/>
                </a:lnTo>
                <a:lnTo>
                  <a:pt x="8" y="9"/>
                </a:lnTo>
                <a:lnTo>
                  <a:pt x="11" y="11"/>
                </a:lnTo>
                <a:lnTo>
                  <a:pt x="14" y="13"/>
                </a:lnTo>
                <a:lnTo>
                  <a:pt x="19" y="14"/>
                </a:lnTo>
                <a:lnTo>
                  <a:pt x="23" y="15"/>
                </a:lnTo>
                <a:lnTo>
                  <a:pt x="28" y="17"/>
                </a:lnTo>
                <a:lnTo>
                  <a:pt x="34" y="18"/>
                </a:lnTo>
                <a:lnTo>
                  <a:pt x="40" y="18"/>
                </a:lnTo>
                <a:lnTo>
                  <a:pt x="45" y="19"/>
                </a:lnTo>
                <a:lnTo>
                  <a:pt x="51" y="19"/>
                </a:lnTo>
                <a:lnTo>
                  <a:pt x="57" y="20"/>
                </a:lnTo>
                <a:lnTo>
                  <a:pt x="63" y="20"/>
                </a:lnTo>
                <a:lnTo>
                  <a:pt x="69" y="20"/>
                </a:lnTo>
                <a:lnTo>
                  <a:pt x="75" y="19"/>
                </a:lnTo>
                <a:lnTo>
                  <a:pt x="81" y="19"/>
                </a:lnTo>
                <a:lnTo>
                  <a:pt x="86" y="18"/>
                </a:lnTo>
                <a:lnTo>
                  <a:pt x="92" y="17"/>
                </a:lnTo>
                <a:lnTo>
                  <a:pt x="97" y="16"/>
                </a:lnTo>
                <a:lnTo>
                  <a:pt x="102" y="15"/>
                </a:lnTo>
                <a:lnTo>
                  <a:pt x="106" y="14"/>
                </a:lnTo>
                <a:lnTo>
                  <a:pt x="110" y="12"/>
                </a:lnTo>
                <a:lnTo>
                  <a:pt x="114" y="11"/>
                </a:lnTo>
                <a:lnTo>
                  <a:pt x="117" y="9"/>
                </a:lnTo>
                <a:lnTo>
                  <a:pt x="119" y="7"/>
                </a:lnTo>
              </a:path>
            </a:pathLst>
          </a:custGeom>
          <a:noFill/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45"/>
          <xdr:cNvSpPr>
            <a:spLocks/>
          </xdr:cNvSpPr>
        </xdr:nvSpPr>
        <xdr:spPr>
          <a:xfrm>
            <a:off x="3212" y="4575"/>
            <a:ext cx="119" cy="20"/>
          </a:xfrm>
          <a:custGeom>
            <a:pathLst>
              <a:path h="20" w="119">
                <a:moveTo>
                  <a:pt x="119" y="20"/>
                </a:moveTo>
                <a:lnTo>
                  <a:pt x="118" y="18"/>
                </a:lnTo>
                <a:lnTo>
                  <a:pt x="118" y="16"/>
                </a:lnTo>
                <a:lnTo>
                  <a:pt x="116" y="14"/>
                </a:lnTo>
                <a:lnTo>
                  <a:pt x="114" y="12"/>
                </a:lnTo>
                <a:lnTo>
                  <a:pt x="111" y="10"/>
                </a:lnTo>
                <a:lnTo>
                  <a:pt x="108" y="9"/>
                </a:lnTo>
                <a:lnTo>
                  <a:pt x="105" y="7"/>
                </a:lnTo>
                <a:lnTo>
                  <a:pt x="101" y="6"/>
                </a:lnTo>
                <a:lnTo>
                  <a:pt x="96" y="4"/>
                </a:lnTo>
                <a:lnTo>
                  <a:pt x="91" y="3"/>
                </a:lnTo>
                <a:lnTo>
                  <a:pt x="86" y="2"/>
                </a:lnTo>
                <a:lnTo>
                  <a:pt x="81" y="1"/>
                </a:lnTo>
                <a:lnTo>
                  <a:pt x="75" y="1"/>
                </a:lnTo>
                <a:lnTo>
                  <a:pt x="69" y="0"/>
                </a:lnTo>
                <a:lnTo>
                  <a:pt x="63" y="0"/>
                </a:lnTo>
                <a:lnTo>
                  <a:pt x="57" y="0"/>
                </a:lnTo>
                <a:lnTo>
                  <a:pt x="51" y="0"/>
                </a:lnTo>
                <a:lnTo>
                  <a:pt x="45" y="0"/>
                </a:lnTo>
                <a:lnTo>
                  <a:pt x="39" y="1"/>
                </a:lnTo>
                <a:lnTo>
                  <a:pt x="34" y="2"/>
                </a:lnTo>
                <a:lnTo>
                  <a:pt x="28" y="2"/>
                </a:lnTo>
                <a:lnTo>
                  <a:pt x="22" y="3"/>
                </a:lnTo>
                <a:lnTo>
                  <a:pt x="17" y="5"/>
                </a:lnTo>
                <a:lnTo>
                  <a:pt x="13" y="6"/>
                </a:lnTo>
                <a:lnTo>
                  <a:pt x="9" y="7"/>
                </a:lnTo>
                <a:lnTo>
                  <a:pt x="5" y="9"/>
                </a:lnTo>
                <a:lnTo>
                  <a:pt x="2" y="11"/>
                </a:lnTo>
                <a:lnTo>
                  <a:pt x="0" y="12"/>
                </a:lnTo>
              </a:path>
            </a:pathLst>
          </a:custGeom>
          <a:noFill/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46"/>
          <xdr:cNvSpPr>
            <a:spLocks/>
          </xdr:cNvSpPr>
        </xdr:nvSpPr>
        <xdr:spPr>
          <a:xfrm flipH="1">
            <a:off x="3550" y="4146"/>
            <a:ext cx="108" cy="88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47"/>
          <xdr:cNvSpPr>
            <a:spLocks/>
          </xdr:cNvSpPr>
        </xdr:nvSpPr>
        <xdr:spPr>
          <a:xfrm>
            <a:off x="3212" y="4126"/>
            <a:ext cx="119" cy="20"/>
          </a:xfrm>
          <a:custGeom>
            <a:pathLst>
              <a:path h="20" w="119">
                <a:moveTo>
                  <a:pt x="119" y="20"/>
                </a:moveTo>
                <a:lnTo>
                  <a:pt x="118" y="18"/>
                </a:lnTo>
                <a:lnTo>
                  <a:pt x="117" y="16"/>
                </a:lnTo>
                <a:lnTo>
                  <a:pt x="116" y="14"/>
                </a:lnTo>
                <a:lnTo>
                  <a:pt x="114" y="12"/>
                </a:lnTo>
                <a:lnTo>
                  <a:pt x="111" y="10"/>
                </a:lnTo>
                <a:lnTo>
                  <a:pt x="108" y="9"/>
                </a:lnTo>
                <a:lnTo>
                  <a:pt x="104" y="7"/>
                </a:lnTo>
                <a:lnTo>
                  <a:pt x="100" y="6"/>
                </a:lnTo>
                <a:lnTo>
                  <a:pt x="96" y="5"/>
                </a:lnTo>
                <a:lnTo>
                  <a:pt x="91" y="3"/>
                </a:lnTo>
                <a:lnTo>
                  <a:pt x="86" y="2"/>
                </a:lnTo>
                <a:lnTo>
                  <a:pt x="80" y="2"/>
                </a:lnTo>
                <a:lnTo>
                  <a:pt x="75" y="1"/>
                </a:lnTo>
                <a:lnTo>
                  <a:pt x="69" y="1"/>
                </a:lnTo>
                <a:lnTo>
                  <a:pt x="63" y="0"/>
                </a:lnTo>
                <a:lnTo>
                  <a:pt x="57" y="0"/>
                </a:lnTo>
                <a:lnTo>
                  <a:pt x="51" y="0"/>
                </a:lnTo>
                <a:lnTo>
                  <a:pt x="45" y="1"/>
                </a:lnTo>
                <a:lnTo>
                  <a:pt x="39" y="1"/>
                </a:lnTo>
                <a:lnTo>
                  <a:pt x="34" y="2"/>
                </a:lnTo>
                <a:lnTo>
                  <a:pt x="28" y="3"/>
                </a:lnTo>
                <a:lnTo>
                  <a:pt x="22" y="4"/>
                </a:lnTo>
                <a:lnTo>
                  <a:pt x="17" y="5"/>
                </a:lnTo>
                <a:lnTo>
                  <a:pt x="13" y="6"/>
                </a:lnTo>
                <a:lnTo>
                  <a:pt x="9" y="8"/>
                </a:lnTo>
                <a:lnTo>
                  <a:pt x="5" y="9"/>
                </a:lnTo>
                <a:lnTo>
                  <a:pt x="2" y="11"/>
                </a:lnTo>
                <a:lnTo>
                  <a:pt x="0" y="13"/>
                </a:lnTo>
              </a:path>
            </a:pathLst>
          </a:custGeom>
          <a:noFill/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48"/>
          <xdr:cNvSpPr>
            <a:spLocks/>
          </xdr:cNvSpPr>
        </xdr:nvSpPr>
        <xdr:spPr>
          <a:xfrm>
            <a:off x="3207" y="4587"/>
            <a:ext cx="5" cy="8"/>
          </a:xfrm>
          <a:custGeom>
            <a:pathLst>
              <a:path h="8" w="5">
                <a:moveTo>
                  <a:pt x="5" y="0"/>
                </a:moveTo>
                <a:lnTo>
                  <a:pt x="3" y="2"/>
                </a:lnTo>
                <a:lnTo>
                  <a:pt x="1" y="4"/>
                </a:lnTo>
                <a:lnTo>
                  <a:pt x="1" y="6"/>
                </a:lnTo>
                <a:lnTo>
                  <a:pt x="0" y="8"/>
                </a:lnTo>
              </a:path>
            </a:pathLst>
          </a:custGeom>
          <a:noFill/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49"/>
          <xdr:cNvSpPr>
            <a:spLocks/>
          </xdr:cNvSpPr>
        </xdr:nvSpPr>
        <xdr:spPr>
          <a:xfrm>
            <a:off x="3208" y="4594"/>
            <a:ext cx="4" cy="4"/>
          </a:xfrm>
          <a:custGeom>
            <a:pathLst>
              <a:path h="4" w="4">
                <a:moveTo>
                  <a:pt x="4" y="0"/>
                </a:moveTo>
                <a:lnTo>
                  <a:pt x="2" y="2"/>
                </a:lnTo>
                <a:lnTo>
                  <a:pt x="0" y="4"/>
                </a:lnTo>
              </a:path>
            </a:pathLst>
          </a:custGeom>
          <a:noFill/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50"/>
          <xdr:cNvSpPr>
            <a:spLocks/>
          </xdr:cNvSpPr>
        </xdr:nvSpPr>
        <xdr:spPr>
          <a:xfrm>
            <a:off x="2887" y="4153"/>
            <a:ext cx="656" cy="8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51"/>
          <xdr:cNvSpPr>
            <a:spLocks/>
          </xdr:cNvSpPr>
        </xdr:nvSpPr>
        <xdr:spPr>
          <a:xfrm>
            <a:off x="3328" y="4147"/>
            <a:ext cx="2" cy="2"/>
          </a:xfrm>
          <a:custGeom>
            <a:pathLst>
              <a:path h="2" w="2">
                <a:moveTo>
                  <a:pt x="2" y="2"/>
                </a:move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52"/>
          <xdr:cNvSpPr>
            <a:spLocks/>
          </xdr:cNvSpPr>
        </xdr:nvSpPr>
        <xdr:spPr>
          <a:xfrm flipH="1" flipV="1">
            <a:off x="2880" y="4146"/>
            <a:ext cx="670" cy="88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53"/>
          <xdr:cNvSpPr>
            <a:spLocks/>
          </xdr:cNvSpPr>
        </xdr:nvSpPr>
        <xdr:spPr>
          <a:xfrm>
            <a:off x="3326" y="4595"/>
            <a:ext cx="5" cy="7"/>
          </a:xfrm>
          <a:custGeom>
            <a:pathLst>
              <a:path h="7" w="5">
                <a:moveTo>
                  <a:pt x="0" y="7"/>
                </a:moveTo>
                <a:lnTo>
                  <a:pt x="2" y="5"/>
                </a:lnTo>
                <a:lnTo>
                  <a:pt x="4" y="3"/>
                </a:lnTo>
                <a:lnTo>
                  <a:pt x="5" y="2"/>
                </a:lnTo>
                <a:lnTo>
                  <a:pt x="5" y="0"/>
                </a:lnTo>
              </a:path>
            </a:pathLst>
          </a:custGeom>
          <a:noFill/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54"/>
          <xdr:cNvSpPr>
            <a:spLocks/>
          </xdr:cNvSpPr>
        </xdr:nvSpPr>
        <xdr:spPr>
          <a:xfrm>
            <a:off x="3212" y="4133"/>
            <a:ext cx="116" cy="14"/>
          </a:xfrm>
          <a:custGeom>
            <a:pathLst>
              <a:path h="14" w="116">
                <a:moveTo>
                  <a:pt x="116" y="14"/>
                </a:moveTo>
                <a:lnTo>
                  <a:pt x="114" y="12"/>
                </a:lnTo>
                <a:lnTo>
                  <a:pt x="111" y="10"/>
                </a:lnTo>
                <a:lnTo>
                  <a:pt x="108" y="9"/>
                </a:lnTo>
                <a:lnTo>
                  <a:pt x="104" y="7"/>
                </a:lnTo>
                <a:lnTo>
                  <a:pt x="100" y="6"/>
                </a:lnTo>
                <a:lnTo>
                  <a:pt x="96" y="4"/>
                </a:lnTo>
                <a:lnTo>
                  <a:pt x="91" y="3"/>
                </a:lnTo>
                <a:lnTo>
                  <a:pt x="86" y="2"/>
                </a:lnTo>
                <a:lnTo>
                  <a:pt x="80" y="1"/>
                </a:lnTo>
                <a:lnTo>
                  <a:pt x="75" y="1"/>
                </a:lnTo>
                <a:lnTo>
                  <a:pt x="69" y="0"/>
                </a:lnTo>
                <a:lnTo>
                  <a:pt x="63" y="0"/>
                </a:lnTo>
                <a:lnTo>
                  <a:pt x="57" y="0"/>
                </a:lnTo>
                <a:lnTo>
                  <a:pt x="51" y="0"/>
                </a:lnTo>
                <a:lnTo>
                  <a:pt x="45" y="0"/>
                </a:lnTo>
                <a:lnTo>
                  <a:pt x="39" y="1"/>
                </a:lnTo>
                <a:lnTo>
                  <a:pt x="34" y="2"/>
                </a:lnTo>
                <a:lnTo>
                  <a:pt x="28" y="2"/>
                </a:lnTo>
                <a:lnTo>
                  <a:pt x="22" y="3"/>
                </a:lnTo>
                <a:lnTo>
                  <a:pt x="17" y="5"/>
                </a:lnTo>
                <a:lnTo>
                  <a:pt x="13" y="6"/>
                </a:lnTo>
                <a:lnTo>
                  <a:pt x="9" y="7"/>
                </a:lnTo>
                <a:lnTo>
                  <a:pt x="5" y="9"/>
                </a:lnTo>
                <a:lnTo>
                  <a:pt x="2" y="11"/>
                </a:lnTo>
                <a:lnTo>
                  <a:pt x="0" y="12"/>
                </a:lnTo>
              </a:path>
            </a:pathLst>
          </a:custGeom>
          <a:noFill/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55"/>
          <xdr:cNvSpPr>
            <a:spLocks/>
          </xdr:cNvSpPr>
        </xdr:nvSpPr>
        <xdr:spPr>
          <a:xfrm>
            <a:off x="3543" y="4240"/>
            <a:ext cx="1" cy="442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56"/>
          <xdr:cNvSpPr>
            <a:spLocks/>
          </xdr:cNvSpPr>
        </xdr:nvSpPr>
        <xdr:spPr>
          <a:xfrm flipV="1">
            <a:off x="3550" y="4234"/>
            <a:ext cx="1" cy="455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57"/>
          <xdr:cNvSpPr>
            <a:spLocks/>
          </xdr:cNvSpPr>
        </xdr:nvSpPr>
        <xdr:spPr>
          <a:xfrm flipH="1" flipV="1">
            <a:off x="2988" y="4059"/>
            <a:ext cx="670" cy="8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58"/>
          <xdr:cNvSpPr>
            <a:spLocks/>
          </xdr:cNvSpPr>
        </xdr:nvSpPr>
        <xdr:spPr>
          <a:xfrm flipV="1">
            <a:off x="3658" y="4146"/>
            <a:ext cx="1" cy="45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59"/>
          <xdr:cNvSpPr>
            <a:spLocks/>
          </xdr:cNvSpPr>
        </xdr:nvSpPr>
        <xdr:spPr>
          <a:xfrm flipH="1">
            <a:off x="3550" y="4602"/>
            <a:ext cx="108" cy="8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66675</xdr:colOff>
      <xdr:row>50</xdr:row>
      <xdr:rowOff>114300</xdr:rowOff>
    </xdr:from>
    <xdr:to>
      <xdr:col>24</xdr:col>
      <xdr:colOff>190500</xdr:colOff>
      <xdr:row>53</xdr:row>
      <xdr:rowOff>95250</xdr:rowOff>
    </xdr:to>
    <xdr:grpSp>
      <xdr:nvGrpSpPr>
        <xdr:cNvPr id="72" name="Group 149"/>
        <xdr:cNvGrpSpPr>
          <a:grpSpLocks/>
        </xdr:cNvGrpSpPr>
      </xdr:nvGrpSpPr>
      <xdr:grpSpPr>
        <a:xfrm>
          <a:off x="4133850" y="11201400"/>
          <a:ext cx="723900" cy="676275"/>
          <a:chOff x="4991" y="5804"/>
          <a:chExt cx="881" cy="750"/>
        </a:xfrm>
        <a:solidFill>
          <a:srgbClr val="FFFFFF"/>
        </a:solidFill>
      </xdr:grpSpPr>
      <xdr:sp>
        <xdr:nvSpPr>
          <xdr:cNvPr id="73" name="AutoShape 150"/>
          <xdr:cNvSpPr>
            <a:spLocks/>
          </xdr:cNvSpPr>
        </xdr:nvSpPr>
        <xdr:spPr>
          <a:xfrm>
            <a:off x="4991" y="6016"/>
            <a:ext cx="1" cy="455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151"/>
          <xdr:cNvSpPr>
            <a:spLocks/>
          </xdr:cNvSpPr>
        </xdr:nvSpPr>
        <xdr:spPr>
          <a:xfrm flipV="1">
            <a:off x="5003" y="6028"/>
            <a:ext cx="1" cy="43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152"/>
          <xdr:cNvSpPr>
            <a:spLocks/>
          </xdr:cNvSpPr>
        </xdr:nvSpPr>
        <xdr:spPr>
          <a:xfrm flipH="1">
            <a:off x="4991" y="5928"/>
            <a:ext cx="104" cy="88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utoShape 153"/>
          <xdr:cNvSpPr>
            <a:spLocks/>
          </xdr:cNvSpPr>
        </xdr:nvSpPr>
        <xdr:spPr>
          <a:xfrm flipV="1">
            <a:off x="5768" y="6440"/>
            <a:ext cx="104" cy="2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154"/>
          <xdr:cNvSpPr>
            <a:spLocks/>
          </xdr:cNvSpPr>
        </xdr:nvSpPr>
        <xdr:spPr>
          <a:xfrm>
            <a:off x="4992" y="6471"/>
            <a:ext cx="672" cy="8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155"/>
          <xdr:cNvSpPr>
            <a:spLocks/>
          </xdr:cNvSpPr>
        </xdr:nvSpPr>
        <xdr:spPr>
          <a:xfrm flipV="1">
            <a:off x="5107" y="6041"/>
            <a:ext cx="1" cy="33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156"/>
          <xdr:cNvSpPr>
            <a:spLocks/>
          </xdr:cNvSpPr>
        </xdr:nvSpPr>
        <xdr:spPr>
          <a:xfrm flipH="1" flipV="1">
            <a:off x="5003" y="6461"/>
            <a:ext cx="650" cy="80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157"/>
          <xdr:cNvSpPr>
            <a:spLocks/>
          </xdr:cNvSpPr>
        </xdr:nvSpPr>
        <xdr:spPr>
          <a:xfrm flipH="1" flipV="1">
            <a:off x="5107" y="6374"/>
            <a:ext cx="546" cy="6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158"/>
          <xdr:cNvSpPr>
            <a:spLocks/>
          </xdr:cNvSpPr>
        </xdr:nvSpPr>
        <xdr:spPr>
          <a:xfrm flipV="1">
            <a:off x="5316" y="6067"/>
            <a:ext cx="1" cy="220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159"/>
          <xdr:cNvSpPr>
            <a:spLocks/>
          </xdr:cNvSpPr>
        </xdr:nvSpPr>
        <xdr:spPr>
          <a:xfrm flipH="1" flipV="1">
            <a:off x="5315" y="5831"/>
            <a:ext cx="1" cy="124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160"/>
          <xdr:cNvSpPr>
            <a:spLocks/>
          </xdr:cNvSpPr>
        </xdr:nvSpPr>
        <xdr:spPr>
          <a:xfrm flipH="1" flipV="1">
            <a:off x="5316" y="6287"/>
            <a:ext cx="337" cy="134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161"/>
          <xdr:cNvSpPr>
            <a:spLocks/>
          </xdr:cNvSpPr>
        </xdr:nvSpPr>
        <xdr:spPr>
          <a:xfrm flipH="1" flipV="1">
            <a:off x="5324" y="6278"/>
            <a:ext cx="329" cy="131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162"/>
          <xdr:cNvSpPr>
            <a:spLocks/>
          </xdr:cNvSpPr>
        </xdr:nvSpPr>
        <xdr:spPr>
          <a:xfrm flipH="1" flipV="1">
            <a:off x="5323" y="6068"/>
            <a:ext cx="1" cy="210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163"/>
          <xdr:cNvSpPr>
            <a:spLocks/>
          </xdr:cNvSpPr>
        </xdr:nvSpPr>
        <xdr:spPr>
          <a:xfrm flipV="1">
            <a:off x="5323" y="5845"/>
            <a:ext cx="1" cy="111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164"/>
          <xdr:cNvSpPr>
            <a:spLocks/>
          </xdr:cNvSpPr>
        </xdr:nvSpPr>
        <xdr:spPr>
          <a:xfrm flipH="1" flipV="1">
            <a:off x="5408" y="6256"/>
            <a:ext cx="245" cy="98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165"/>
          <xdr:cNvSpPr>
            <a:spLocks/>
          </xdr:cNvSpPr>
        </xdr:nvSpPr>
        <xdr:spPr>
          <a:xfrm flipH="1">
            <a:off x="5003" y="6374"/>
            <a:ext cx="104" cy="8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166"/>
          <xdr:cNvSpPr>
            <a:spLocks/>
          </xdr:cNvSpPr>
        </xdr:nvSpPr>
        <xdr:spPr>
          <a:xfrm flipH="1">
            <a:off x="5324" y="6256"/>
            <a:ext cx="84" cy="22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167"/>
          <xdr:cNvSpPr>
            <a:spLocks/>
          </xdr:cNvSpPr>
        </xdr:nvSpPr>
        <xdr:spPr>
          <a:xfrm flipV="1">
            <a:off x="5408" y="6078"/>
            <a:ext cx="1" cy="178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168"/>
          <xdr:cNvSpPr>
            <a:spLocks/>
          </xdr:cNvSpPr>
        </xdr:nvSpPr>
        <xdr:spPr>
          <a:xfrm flipV="1">
            <a:off x="5407" y="5879"/>
            <a:ext cx="1" cy="8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AutoShape 169"/>
          <xdr:cNvSpPr>
            <a:spLocks/>
          </xdr:cNvSpPr>
        </xdr:nvSpPr>
        <xdr:spPr>
          <a:xfrm flipV="1">
            <a:off x="5768" y="5984"/>
            <a:ext cx="103" cy="2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AutoShape 170"/>
          <xdr:cNvSpPr>
            <a:spLocks/>
          </xdr:cNvSpPr>
        </xdr:nvSpPr>
        <xdr:spPr>
          <a:xfrm flipH="1">
            <a:off x="5664" y="6011"/>
            <a:ext cx="104" cy="8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171"/>
          <xdr:cNvSpPr>
            <a:spLocks/>
          </xdr:cNvSpPr>
        </xdr:nvSpPr>
        <xdr:spPr>
          <a:xfrm>
            <a:off x="5003" y="6028"/>
            <a:ext cx="649" cy="80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172"/>
          <xdr:cNvSpPr>
            <a:spLocks/>
          </xdr:cNvSpPr>
        </xdr:nvSpPr>
        <xdr:spPr>
          <a:xfrm flipH="1" flipV="1">
            <a:off x="4991" y="6016"/>
            <a:ext cx="673" cy="82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173"/>
          <xdr:cNvSpPr>
            <a:spLocks/>
          </xdr:cNvSpPr>
        </xdr:nvSpPr>
        <xdr:spPr>
          <a:xfrm>
            <a:off x="5652" y="6108"/>
            <a:ext cx="1" cy="43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174"/>
          <xdr:cNvSpPr>
            <a:spLocks/>
          </xdr:cNvSpPr>
        </xdr:nvSpPr>
        <xdr:spPr>
          <a:xfrm flipV="1">
            <a:off x="5664" y="6098"/>
            <a:ext cx="1" cy="45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175"/>
          <xdr:cNvSpPr>
            <a:spLocks/>
          </xdr:cNvSpPr>
        </xdr:nvSpPr>
        <xdr:spPr>
          <a:xfrm flipH="1" flipV="1">
            <a:off x="5095" y="5928"/>
            <a:ext cx="673" cy="8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176"/>
          <xdr:cNvSpPr>
            <a:spLocks/>
          </xdr:cNvSpPr>
        </xdr:nvSpPr>
        <xdr:spPr>
          <a:xfrm>
            <a:off x="5323" y="5845"/>
            <a:ext cx="403" cy="160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177"/>
          <xdr:cNvSpPr>
            <a:spLocks/>
          </xdr:cNvSpPr>
        </xdr:nvSpPr>
        <xdr:spPr>
          <a:xfrm>
            <a:off x="5315" y="5831"/>
            <a:ext cx="453" cy="180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178"/>
          <xdr:cNvSpPr>
            <a:spLocks/>
          </xdr:cNvSpPr>
        </xdr:nvSpPr>
        <xdr:spPr>
          <a:xfrm>
            <a:off x="5768" y="6011"/>
            <a:ext cx="1" cy="45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79"/>
          <xdr:cNvSpPr>
            <a:spLocks/>
          </xdr:cNvSpPr>
        </xdr:nvSpPr>
        <xdr:spPr>
          <a:xfrm>
            <a:off x="5418" y="5804"/>
            <a:ext cx="453" cy="180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80"/>
          <xdr:cNvSpPr>
            <a:spLocks/>
          </xdr:cNvSpPr>
        </xdr:nvSpPr>
        <xdr:spPr>
          <a:xfrm flipV="1">
            <a:off x="5315" y="5804"/>
            <a:ext cx="103" cy="2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81"/>
          <xdr:cNvSpPr>
            <a:spLocks/>
          </xdr:cNvSpPr>
        </xdr:nvSpPr>
        <xdr:spPr>
          <a:xfrm>
            <a:off x="5871" y="5984"/>
            <a:ext cx="1" cy="45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82"/>
          <xdr:cNvSpPr>
            <a:spLocks/>
          </xdr:cNvSpPr>
        </xdr:nvSpPr>
        <xdr:spPr>
          <a:xfrm flipH="1">
            <a:off x="5664" y="6467"/>
            <a:ext cx="104" cy="8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152400</xdr:colOff>
      <xdr:row>46</xdr:row>
      <xdr:rowOff>76200</xdr:rowOff>
    </xdr:from>
    <xdr:to>
      <xdr:col>15</xdr:col>
      <xdr:colOff>133350</xdr:colOff>
      <xdr:row>49</xdr:row>
      <xdr:rowOff>161925</xdr:rowOff>
    </xdr:to>
    <xdr:grpSp>
      <xdr:nvGrpSpPr>
        <xdr:cNvPr id="106" name="Group 183"/>
        <xdr:cNvGrpSpPr>
          <a:grpSpLocks/>
        </xdr:cNvGrpSpPr>
      </xdr:nvGrpSpPr>
      <xdr:grpSpPr>
        <a:xfrm>
          <a:off x="2019300" y="10172700"/>
          <a:ext cx="981075" cy="828675"/>
          <a:chOff x="3189" y="5804"/>
          <a:chExt cx="881" cy="750"/>
        </a:xfrm>
        <a:solidFill>
          <a:srgbClr val="FFFFFF"/>
        </a:solidFill>
      </xdr:grpSpPr>
      <xdr:sp>
        <xdr:nvSpPr>
          <xdr:cNvPr id="107" name="AutoShape 184"/>
          <xdr:cNvSpPr>
            <a:spLocks/>
          </xdr:cNvSpPr>
        </xdr:nvSpPr>
        <xdr:spPr>
          <a:xfrm>
            <a:off x="3189" y="5917"/>
            <a:ext cx="1" cy="45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85"/>
          <xdr:cNvSpPr>
            <a:spLocks/>
          </xdr:cNvSpPr>
        </xdr:nvSpPr>
        <xdr:spPr>
          <a:xfrm flipV="1">
            <a:off x="3293" y="5804"/>
            <a:ext cx="104" cy="8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86"/>
          <xdr:cNvSpPr>
            <a:spLocks/>
          </xdr:cNvSpPr>
        </xdr:nvSpPr>
        <xdr:spPr>
          <a:xfrm flipH="1">
            <a:off x="3643" y="6527"/>
            <a:ext cx="103" cy="2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87"/>
          <xdr:cNvSpPr>
            <a:spLocks/>
          </xdr:cNvSpPr>
        </xdr:nvSpPr>
        <xdr:spPr>
          <a:xfrm>
            <a:off x="3190" y="6373"/>
            <a:ext cx="453" cy="181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88"/>
          <xdr:cNvSpPr>
            <a:spLocks/>
          </xdr:cNvSpPr>
        </xdr:nvSpPr>
        <xdr:spPr>
          <a:xfrm>
            <a:off x="3408" y="5916"/>
            <a:ext cx="1" cy="20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189"/>
          <xdr:cNvSpPr>
            <a:spLocks/>
          </xdr:cNvSpPr>
        </xdr:nvSpPr>
        <xdr:spPr>
          <a:xfrm flipH="1" flipV="1">
            <a:off x="3745" y="6402"/>
            <a:ext cx="221" cy="2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AutoShape 190"/>
          <xdr:cNvSpPr>
            <a:spLocks/>
          </xdr:cNvSpPr>
        </xdr:nvSpPr>
        <xdr:spPr>
          <a:xfrm>
            <a:off x="3745" y="6391"/>
            <a:ext cx="209" cy="25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191"/>
          <xdr:cNvSpPr>
            <a:spLocks/>
          </xdr:cNvSpPr>
        </xdr:nvSpPr>
        <xdr:spPr>
          <a:xfrm>
            <a:off x="3745" y="6291"/>
            <a:ext cx="209" cy="2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92"/>
          <xdr:cNvSpPr>
            <a:spLocks/>
          </xdr:cNvSpPr>
        </xdr:nvSpPr>
        <xdr:spPr>
          <a:xfrm flipH="1" flipV="1">
            <a:off x="3642" y="6098"/>
            <a:ext cx="1" cy="45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93"/>
          <xdr:cNvSpPr>
            <a:spLocks/>
          </xdr:cNvSpPr>
        </xdr:nvSpPr>
        <xdr:spPr>
          <a:xfrm flipV="1">
            <a:off x="3965" y="5887"/>
            <a:ext cx="104" cy="8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94"/>
          <xdr:cNvSpPr>
            <a:spLocks/>
          </xdr:cNvSpPr>
        </xdr:nvSpPr>
        <xdr:spPr>
          <a:xfrm flipH="1">
            <a:off x="3642" y="6071"/>
            <a:ext cx="103" cy="2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95"/>
          <xdr:cNvSpPr>
            <a:spLocks/>
          </xdr:cNvSpPr>
        </xdr:nvSpPr>
        <xdr:spPr>
          <a:xfrm flipH="1" flipV="1">
            <a:off x="3189" y="5917"/>
            <a:ext cx="453" cy="181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96"/>
          <xdr:cNvSpPr>
            <a:spLocks/>
          </xdr:cNvSpPr>
        </xdr:nvSpPr>
        <xdr:spPr>
          <a:xfrm flipH="1" flipV="1">
            <a:off x="3745" y="6071"/>
            <a:ext cx="1" cy="45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AutoShape 197"/>
          <xdr:cNvSpPr>
            <a:spLocks/>
          </xdr:cNvSpPr>
        </xdr:nvSpPr>
        <xdr:spPr>
          <a:xfrm flipH="1" flipV="1">
            <a:off x="3293" y="5891"/>
            <a:ext cx="452" cy="180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AutoShape 198"/>
          <xdr:cNvSpPr>
            <a:spLocks/>
          </xdr:cNvSpPr>
        </xdr:nvSpPr>
        <xdr:spPr>
          <a:xfrm flipH="1" flipV="1">
            <a:off x="3334" y="5907"/>
            <a:ext cx="620" cy="7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AutoShape 199"/>
          <xdr:cNvSpPr>
            <a:spLocks/>
          </xdr:cNvSpPr>
        </xdr:nvSpPr>
        <xdr:spPr>
          <a:xfrm>
            <a:off x="3293" y="5891"/>
            <a:ext cx="672" cy="82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200"/>
          <xdr:cNvSpPr>
            <a:spLocks/>
          </xdr:cNvSpPr>
        </xdr:nvSpPr>
        <xdr:spPr>
          <a:xfrm flipV="1">
            <a:off x="3954" y="5983"/>
            <a:ext cx="1" cy="43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201"/>
          <xdr:cNvSpPr>
            <a:spLocks/>
          </xdr:cNvSpPr>
        </xdr:nvSpPr>
        <xdr:spPr>
          <a:xfrm>
            <a:off x="3965" y="5973"/>
            <a:ext cx="1" cy="45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202"/>
          <xdr:cNvSpPr>
            <a:spLocks/>
          </xdr:cNvSpPr>
        </xdr:nvSpPr>
        <xdr:spPr>
          <a:xfrm>
            <a:off x="3397" y="5804"/>
            <a:ext cx="672" cy="8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203"/>
          <xdr:cNvSpPr>
            <a:spLocks/>
          </xdr:cNvSpPr>
        </xdr:nvSpPr>
        <xdr:spPr>
          <a:xfrm flipH="1">
            <a:off x="3189" y="5891"/>
            <a:ext cx="104" cy="2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204"/>
          <xdr:cNvSpPr>
            <a:spLocks/>
          </xdr:cNvSpPr>
        </xdr:nvSpPr>
        <xdr:spPr>
          <a:xfrm flipV="1">
            <a:off x="3966" y="6342"/>
            <a:ext cx="104" cy="8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AutoShape 205"/>
          <xdr:cNvSpPr>
            <a:spLocks/>
          </xdr:cNvSpPr>
        </xdr:nvSpPr>
        <xdr:spPr>
          <a:xfrm>
            <a:off x="4069" y="5887"/>
            <a:ext cx="1" cy="455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47625</xdr:colOff>
      <xdr:row>50</xdr:row>
      <xdr:rowOff>142875</xdr:rowOff>
    </xdr:from>
    <xdr:to>
      <xdr:col>29</xdr:col>
      <xdr:colOff>114300</xdr:colOff>
      <xdr:row>53</xdr:row>
      <xdr:rowOff>66675</xdr:rowOff>
    </xdr:to>
    <xdr:grpSp>
      <xdr:nvGrpSpPr>
        <xdr:cNvPr id="129" name="Group 206"/>
        <xdr:cNvGrpSpPr>
          <a:grpSpLocks/>
        </xdr:cNvGrpSpPr>
      </xdr:nvGrpSpPr>
      <xdr:grpSpPr>
        <a:xfrm>
          <a:off x="5114925" y="11229975"/>
          <a:ext cx="666750" cy="619125"/>
          <a:chOff x="3241" y="9434"/>
          <a:chExt cx="777" cy="709"/>
        </a:xfrm>
        <a:solidFill>
          <a:srgbClr val="FFFFFF"/>
        </a:solidFill>
      </xdr:grpSpPr>
      <xdr:sp>
        <xdr:nvSpPr>
          <xdr:cNvPr id="130" name="AutoShape 207"/>
          <xdr:cNvSpPr>
            <a:spLocks/>
          </xdr:cNvSpPr>
        </xdr:nvSpPr>
        <xdr:spPr>
          <a:xfrm>
            <a:off x="3241" y="9604"/>
            <a:ext cx="1" cy="45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AutoShape 208"/>
          <xdr:cNvSpPr>
            <a:spLocks/>
          </xdr:cNvSpPr>
        </xdr:nvSpPr>
        <xdr:spPr>
          <a:xfrm flipH="1">
            <a:off x="3241" y="9517"/>
            <a:ext cx="104" cy="8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AutoShape 209"/>
          <xdr:cNvSpPr>
            <a:spLocks/>
          </xdr:cNvSpPr>
        </xdr:nvSpPr>
        <xdr:spPr>
          <a:xfrm flipH="1" flipV="1">
            <a:off x="3252" y="9617"/>
            <a:ext cx="1" cy="43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210"/>
          <xdr:cNvSpPr>
            <a:spLocks/>
          </xdr:cNvSpPr>
        </xdr:nvSpPr>
        <xdr:spPr>
          <a:xfrm>
            <a:off x="3242" y="10060"/>
            <a:ext cx="672" cy="8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211"/>
          <xdr:cNvSpPr>
            <a:spLocks/>
          </xdr:cNvSpPr>
        </xdr:nvSpPr>
        <xdr:spPr>
          <a:xfrm flipH="1" flipV="1">
            <a:off x="3253" y="10050"/>
            <a:ext cx="650" cy="80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212"/>
          <xdr:cNvSpPr>
            <a:spLocks/>
          </xdr:cNvSpPr>
        </xdr:nvSpPr>
        <xdr:spPr>
          <a:xfrm flipV="1">
            <a:off x="3357" y="9630"/>
            <a:ext cx="1" cy="33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213"/>
          <xdr:cNvSpPr>
            <a:spLocks/>
          </xdr:cNvSpPr>
        </xdr:nvSpPr>
        <xdr:spPr>
          <a:xfrm flipH="1" flipV="1">
            <a:off x="3357" y="9963"/>
            <a:ext cx="546" cy="68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214"/>
          <xdr:cNvSpPr>
            <a:spLocks/>
          </xdr:cNvSpPr>
        </xdr:nvSpPr>
        <xdr:spPr>
          <a:xfrm flipH="1" flipV="1">
            <a:off x="3570" y="9869"/>
            <a:ext cx="333" cy="132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AutoShape 215"/>
          <xdr:cNvSpPr>
            <a:spLocks/>
          </xdr:cNvSpPr>
        </xdr:nvSpPr>
        <xdr:spPr>
          <a:xfrm flipH="1" flipV="1">
            <a:off x="3569" y="9656"/>
            <a:ext cx="1" cy="21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AutoShape 216"/>
          <xdr:cNvSpPr>
            <a:spLocks/>
          </xdr:cNvSpPr>
        </xdr:nvSpPr>
        <xdr:spPr>
          <a:xfrm flipV="1">
            <a:off x="3569" y="9435"/>
            <a:ext cx="1" cy="109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AutoShape 217"/>
          <xdr:cNvSpPr>
            <a:spLocks/>
          </xdr:cNvSpPr>
        </xdr:nvSpPr>
        <xdr:spPr>
          <a:xfrm flipH="1">
            <a:off x="3253" y="9963"/>
            <a:ext cx="104" cy="8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AutoShape 218"/>
          <xdr:cNvSpPr>
            <a:spLocks/>
          </xdr:cNvSpPr>
        </xdr:nvSpPr>
        <xdr:spPr>
          <a:xfrm flipH="1">
            <a:off x="3913" y="9600"/>
            <a:ext cx="104" cy="8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219"/>
          <xdr:cNvSpPr>
            <a:spLocks/>
          </xdr:cNvSpPr>
        </xdr:nvSpPr>
        <xdr:spPr>
          <a:xfrm>
            <a:off x="3252" y="9617"/>
            <a:ext cx="650" cy="80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220"/>
          <xdr:cNvSpPr>
            <a:spLocks/>
          </xdr:cNvSpPr>
        </xdr:nvSpPr>
        <xdr:spPr>
          <a:xfrm flipH="1" flipV="1">
            <a:off x="3241" y="9604"/>
            <a:ext cx="672" cy="8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221"/>
          <xdr:cNvSpPr>
            <a:spLocks/>
          </xdr:cNvSpPr>
        </xdr:nvSpPr>
        <xdr:spPr>
          <a:xfrm flipH="1" flipV="1">
            <a:off x="3345" y="9517"/>
            <a:ext cx="672" cy="8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222"/>
          <xdr:cNvSpPr>
            <a:spLocks/>
          </xdr:cNvSpPr>
        </xdr:nvSpPr>
        <xdr:spPr>
          <a:xfrm>
            <a:off x="3902" y="9697"/>
            <a:ext cx="1" cy="43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223"/>
          <xdr:cNvSpPr>
            <a:spLocks/>
          </xdr:cNvSpPr>
        </xdr:nvSpPr>
        <xdr:spPr>
          <a:xfrm flipH="1" flipV="1">
            <a:off x="3913" y="9687"/>
            <a:ext cx="1" cy="45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224"/>
          <xdr:cNvSpPr>
            <a:spLocks/>
          </xdr:cNvSpPr>
        </xdr:nvSpPr>
        <xdr:spPr>
          <a:xfrm>
            <a:off x="3569" y="9435"/>
            <a:ext cx="396" cy="159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AutoShape 225"/>
          <xdr:cNvSpPr>
            <a:spLocks/>
          </xdr:cNvSpPr>
        </xdr:nvSpPr>
        <xdr:spPr>
          <a:xfrm>
            <a:off x="3575" y="9434"/>
            <a:ext cx="403" cy="161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226"/>
          <xdr:cNvSpPr>
            <a:spLocks/>
          </xdr:cNvSpPr>
        </xdr:nvSpPr>
        <xdr:spPr>
          <a:xfrm flipH="1" flipV="1">
            <a:off x="4017" y="9600"/>
            <a:ext cx="1" cy="45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227"/>
          <xdr:cNvSpPr>
            <a:spLocks/>
          </xdr:cNvSpPr>
        </xdr:nvSpPr>
        <xdr:spPr>
          <a:xfrm flipH="1">
            <a:off x="3569" y="9434"/>
            <a:ext cx="6" cy="1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228"/>
          <xdr:cNvSpPr>
            <a:spLocks/>
          </xdr:cNvSpPr>
        </xdr:nvSpPr>
        <xdr:spPr>
          <a:xfrm flipH="1">
            <a:off x="3914" y="10056"/>
            <a:ext cx="104" cy="8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114300</xdr:colOff>
      <xdr:row>50</xdr:row>
      <xdr:rowOff>190500</xdr:rowOff>
    </xdr:from>
    <xdr:to>
      <xdr:col>12</xdr:col>
      <xdr:colOff>19050</xdr:colOff>
      <xdr:row>53</xdr:row>
      <xdr:rowOff>114300</xdr:rowOff>
    </xdr:to>
    <xdr:grpSp>
      <xdr:nvGrpSpPr>
        <xdr:cNvPr id="152" name="Group 229"/>
        <xdr:cNvGrpSpPr>
          <a:grpSpLocks/>
        </xdr:cNvGrpSpPr>
      </xdr:nvGrpSpPr>
      <xdr:grpSpPr>
        <a:xfrm>
          <a:off x="1581150" y="11277600"/>
          <a:ext cx="704850" cy="619125"/>
          <a:chOff x="6464" y="5827"/>
          <a:chExt cx="818" cy="704"/>
        </a:xfrm>
        <a:solidFill>
          <a:srgbClr val="FFFFFF"/>
        </a:solidFill>
      </xdr:grpSpPr>
      <xdr:sp>
        <xdr:nvSpPr>
          <xdr:cNvPr id="153" name="AutoShape 230"/>
          <xdr:cNvSpPr>
            <a:spLocks/>
          </xdr:cNvSpPr>
        </xdr:nvSpPr>
        <xdr:spPr>
          <a:xfrm flipH="1" flipV="1">
            <a:off x="6464" y="5992"/>
            <a:ext cx="1" cy="45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AutoShape 231"/>
          <xdr:cNvSpPr>
            <a:spLocks/>
          </xdr:cNvSpPr>
        </xdr:nvSpPr>
        <xdr:spPr>
          <a:xfrm>
            <a:off x="6476" y="6005"/>
            <a:ext cx="1" cy="43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AutoShape 232"/>
          <xdr:cNvSpPr>
            <a:spLocks/>
          </xdr:cNvSpPr>
        </xdr:nvSpPr>
        <xdr:spPr>
          <a:xfrm flipV="1">
            <a:off x="6464" y="5905"/>
            <a:ext cx="104" cy="8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233"/>
          <xdr:cNvSpPr>
            <a:spLocks/>
          </xdr:cNvSpPr>
        </xdr:nvSpPr>
        <xdr:spPr>
          <a:xfrm flipV="1">
            <a:off x="6548" y="5863"/>
            <a:ext cx="1" cy="59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AutoShape 234"/>
          <xdr:cNvSpPr>
            <a:spLocks/>
          </xdr:cNvSpPr>
        </xdr:nvSpPr>
        <xdr:spPr>
          <a:xfrm>
            <a:off x="6580" y="6018"/>
            <a:ext cx="1" cy="33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AutoShape 235"/>
          <xdr:cNvSpPr>
            <a:spLocks/>
          </xdr:cNvSpPr>
        </xdr:nvSpPr>
        <xdr:spPr>
          <a:xfrm flipV="1">
            <a:off x="6581" y="6018"/>
            <a:ext cx="1" cy="331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236"/>
          <xdr:cNvSpPr>
            <a:spLocks/>
          </xdr:cNvSpPr>
        </xdr:nvSpPr>
        <xdr:spPr>
          <a:xfrm flipH="1" flipV="1">
            <a:off x="6465" y="6448"/>
            <a:ext cx="673" cy="8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237"/>
          <xdr:cNvSpPr>
            <a:spLocks/>
          </xdr:cNvSpPr>
        </xdr:nvSpPr>
        <xdr:spPr>
          <a:xfrm>
            <a:off x="6476" y="6438"/>
            <a:ext cx="651" cy="81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238"/>
          <xdr:cNvSpPr>
            <a:spLocks/>
          </xdr:cNvSpPr>
        </xdr:nvSpPr>
        <xdr:spPr>
          <a:xfrm>
            <a:off x="6580" y="6351"/>
            <a:ext cx="547" cy="6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239"/>
          <xdr:cNvSpPr>
            <a:spLocks/>
          </xdr:cNvSpPr>
        </xdr:nvSpPr>
        <xdr:spPr>
          <a:xfrm flipH="1">
            <a:off x="7242" y="6324"/>
            <a:ext cx="40" cy="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AutoShape 240"/>
          <xdr:cNvSpPr>
            <a:spLocks/>
          </xdr:cNvSpPr>
        </xdr:nvSpPr>
        <xdr:spPr>
          <a:xfrm flipH="1">
            <a:off x="6634" y="6333"/>
            <a:ext cx="493" cy="25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AutoShape 241"/>
          <xdr:cNvSpPr>
            <a:spLocks/>
          </xdr:cNvSpPr>
        </xdr:nvSpPr>
        <xdr:spPr>
          <a:xfrm flipH="1">
            <a:off x="7242" y="6314"/>
            <a:ext cx="28" cy="1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242"/>
          <xdr:cNvSpPr>
            <a:spLocks/>
          </xdr:cNvSpPr>
        </xdr:nvSpPr>
        <xdr:spPr>
          <a:xfrm flipH="1">
            <a:off x="6581" y="6321"/>
            <a:ext cx="546" cy="28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AutoShape 243"/>
          <xdr:cNvSpPr>
            <a:spLocks/>
          </xdr:cNvSpPr>
        </xdr:nvSpPr>
        <xdr:spPr>
          <a:xfrm flipH="1" flipV="1">
            <a:off x="6548" y="5863"/>
            <a:ext cx="20" cy="42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AutoShape 244"/>
          <xdr:cNvSpPr>
            <a:spLocks/>
          </xdr:cNvSpPr>
        </xdr:nvSpPr>
        <xdr:spPr>
          <a:xfrm flipH="1">
            <a:off x="7242" y="6279"/>
            <a:ext cx="12" cy="1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245"/>
          <xdr:cNvSpPr>
            <a:spLocks/>
          </xdr:cNvSpPr>
        </xdr:nvSpPr>
        <xdr:spPr>
          <a:xfrm flipH="1">
            <a:off x="6581" y="6286"/>
            <a:ext cx="546" cy="28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246"/>
          <xdr:cNvSpPr>
            <a:spLocks/>
          </xdr:cNvSpPr>
        </xdr:nvSpPr>
        <xdr:spPr>
          <a:xfrm flipV="1">
            <a:off x="6476" y="6351"/>
            <a:ext cx="104" cy="8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AutoShape 247"/>
          <xdr:cNvSpPr>
            <a:spLocks/>
          </xdr:cNvSpPr>
        </xdr:nvSpPr>
        <xdr:spPr>
          <a:xfrm flipV="1">
            <a:off x="7138" y="5988"/>
            <a:ext cx="104" cy="8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248"/>
          <xdr:cNvSpPr>
            <a:spLocks/>
          </xdr:cNvSpPr>
        </xdr:nvSpPr>
        <xdr:spPr>
          <a:xfrm flipH="1" flipV="1">
            <a:off x="6476" y="6005"/>
            <a:ext cx="650" cy="80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AutoShape 249"/>
          <xdr:cNvSpPr>
            <a:spLocks/>
          </xdr:cNvSpPr>
        </xdr:nvSpPr>
        <xdr:spPr>
          <a:xfrm>
            <a:off x="6464" y="5992"/>
            <a:ext cx="674" cy="8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AutoShape 250"/>
          <xdr:cNvSpPr>
            <a:spLocks/>
          </xdr:cNvSpPr>
        </xdr:nvSpPr>
        <xdr:spPr>
          <a:xfrm flipH="1" flipV="1">
            <a:off x="7126" y="6085"/>
            <a:ext cx="1" cy="434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251"/>
          <xdr:cNvSpPr>
            <a:spLocks/>
          </xdr:cNvSpPr>
        </xdr:nvSpPr>
        <xdr:spPr>
          <a:xfrm>
            <a:off x="6568" y="5905"/>
            <a:ext cx="674" cy="8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AutoShape 252"/>
          <xdr:cNvSpPr>
            <a:spLocks/>
          </xdr:cNvSpPr>
        </xdr:nvSpPr>
        <xdr:spPr>
          <a:xfrm>
            <a:off x="7138" y="6075"/>
            <a:ext cx="1" cy="45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AutoShape 253"/>
          <xdr:cNvSpPr>
            <a:spLocks/>
          </xdr:cNvSpPr>
        </xdr:nvSpPr>
        <xdr:spPr>
          <a:xfrm flipV="1">
            <a:off x="6634" y="5881"/>
            <a:ext cx="636" cy="32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AutoShape 254"/>
          <xdr:cNvSpPr>
            <a:spLocks/>
          </xdr:cNvSpPr>
        </xdr:nvSpPr>
        <xdr:spPr>
          <a:xfrm flipV="1">
            <a:off x="6568" y="5869"/>
            <a:ext cx="713" cy="3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255"/>
          <xdr:cNvSpPr>
            <a:spLocks/>
          </xdr:cNvSpPr>
        </xdr:nvSpPr>
        <xdr:spPr>
          <a:xfrm>
            <a:off x="7254" y="6279"/>
            <a:ext cx="16" cy="35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256"/>
          <xdr:cNvSpPr>
            <a:spLocks/>
          </xdr:cNvSpPr>
        </xdr:nvSpPr>
        <xdr:spPr>
          <a:xfrm flipV="1">
            <a:off x="6548" y="5827"/>
            <a:ext cx="713" cy="3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257"/>
          <xdr:cNvSpPr>
            <a:spLocks/>
          </xdr:cNvSpPr>
        </xdr:nvSpPr>
        <xdr:spPr>
          <a:xfrm>
            <a:off x="7242" y="5988"/>
            <a:ext cx="1" cy="45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AutoShape 258"/>
          <xdr:cNvSpPr>
            <a:spLocks/>
          </xdr:cNvSpPr>
        </xdr:nvSpPr>
        <xdr:spPr>
          <a:xfrm>
            <a:off x="7253" y="5881"/>
            <a:ext cx="1" cy="398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AutoShape 259"/>
          <xdr:cNvSpPr>
            <a:spLocks/>
          </xdr:cNvSpPr>
        </xdr:nvSpPr>
        <xdr:spPr>
          <a:xfrm>
            <a:off x="7270" y="5881"/>
            <a:ext cx="1" cy="43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AutoShape 260"/>
          <xdr:cNvSpPr>
            <a:spLocks/>
          </xdr:cNvSpPr>
        </xdr:nvSpPr>
        <xdr:spPr>
          <a:xfrm>
            <a:off x="7281" y="5869"/>
            <a:ext cx="1" cy="455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AutoShape 261"/>
          <xdr:cNvSpPr>
            <a:spLocks/>
          </xdr:cNvSpPr>
        </xdr:nvSpPr>
        <xdr:spPr>
          <a:xfrm flipV="1">
            <a:off x="7138" y="6444"/>
            <a:ext cx="104" cy="8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AutoShape 262"/>
          <xdr:cNvSpPr>
            <a:spLocks/>
          </xdr:cNvSpPr>
        </xdr:nvSpPr>
        <xdr:spPr>
          <a:xfrm flipH="1" flipV="1">
            <a:off x="7261" y="5827"/>
            <a:ext cx="20" cy="42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46</xdr:row>
      <xdr:rowOff>66675</xdr:rowOff>
    </xdr:from>
    <xdr:to>
      <xdr:col>27</xdr:col>
      <xdr:colOff>142875</xdr:colOff>
      <xdr:row>49</xdr:row>
      <xdr:rowOff>133350</xdr:rowOff>
    </xdr:to>
    <xdr:grpSp>
      <xdr:nvGrpSpPr>
        <xdr:cNvPr id="186" name="Group 263"/>
        <xdr:cNvGrpSpPr>
          <a:grpSpLocks/>
        </xdr:cNvGrpSpPr>
      </xdr:nvGrpSpPr>
      <xdr:grpSpPr>
        <a:xfrm>
          <a:off x="4467225" y="10163175"/>
          <a:ext cx="942975" cy="809625"/>
          <a:chOff x="1779" y="5827"/>
          <a:chExt cx="818" cy="704"/>
        </a:xfrm>
        <a:solidFill>
          <a:srgbClr val="FFFFFF"/>
        </a:solidFill>
      </xdr:grpSpPr>
      <xdr:sp>
        <xdr:nvSpPr>
          <xdr:cNvPr id="187" name="AutoShape 264"/>
          <xdr:cNvSpPr>
            <a:spLocks/>
          </xdr:cNvSpPr>
        </xdr:nvSpPr>
        <xdr:spPr>
          <a:xfrm>
            <a:off x="1780" y="6489"/>
            <a:ext cx="20" cy="42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265"/>
          <xdr:cNvSpPr>
            <a:spLocks/>
          </xdr:cNvSpPr>
        </xdr:nvSpPr>
        <xdr:spPr>
          <a:xfrm flipH="1">
            <a:off x="1819" y="5827"/>
            <a:ext cx="104" cy="8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266"/>
          <xdr:cNvSpPr>
            <a:spLocks/>
          </xdr:cNvSpPr>
        </xdr:nvSpPr>
        <xdr:spPr>
          <a:xfrm>
            <a:off x="1779" y="6033"/>
            <a:ext cx="1" cy="45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AutoShape 267"/>
          <xdr:cNvSpPr>
            <a:spLocks/>
          </xdr:cNvSpPr>
        </xdr:nvSpPr>
        <xdr:spPr>
          <a:xfrm>
            <a:off x="1799" y="6075"/>
            <a:ext cx="1" cy="45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AutoShape 268"/>
          <xdr:cNvSpPr>
            <a:spLocks/>
          </xdr:cNvSpPr>
        </xdr:nvSpPr>
        <xdr:spPr>
          <a:xfrm>
            <a:off x="1819" y="5913"/>
            <a:ext cx="1" cy="118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AutoShape 269"/>
          <xdr:cNvSpPr>
            <a:spLocks/>
          </xdr:cNvSpPr>
        </xdr:nvSpPr>
        <xdr:spPr>
          <a:xfrm flipV="1">
            <a:off x="1830" y="5926"/>
            <a:ext cx="1" cy="105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AutoShape 270"/>
          <xdr:cNvSpPr>
            <a:spLocks/>
          </xdr:cNvSpPr>
        </xdr:nvSpPr>
        <xdr:spPr>
          <a:xfrm flipV="1">
            <a:off x="1800" y="6495"/>
            <a:ext cx="713" cy="3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AutoShape 271"/>
          <xdr:cNvSpPr>
            <a:spLocks/>
          </xdr:cNvSpPr>
        </xdr:nvSpPr>
        <xdr:spPr>
          <a:xfrm>
            <a:off x="1779" y="6033"/>
            <a:ext cx="20" cy="42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272"/>
          <xdr:cNvSpPr>
            <a:spLocks/>
          </xdr:cNvSpPr>
        </xdr:nvSpPr>
        <xdr:spPr>
          <a:xfrm flipV="1">
            <a:off x="1934" y="5939"/>
            <a:ext cx="1" cy="8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AutoShape 273"/>
          <xdr:cNvSpPr>
            <a:spLocks/>
          </xdr:cNvSpPr>
        </xdr:nvSpPr>
        <xdr:spPr>
          <a:xfrm flipH="1">
            <a:off x="2492" y="5909"/>
            <a:ext cx="104" cy="8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AutoShape 274"/>
          <xdr:cNvSpPr>
            <a:spLocks/>
          </xdr:cNvSpPr>
        </xdr:nvSpPr>
        <xdr:spPr>
          <a:xfrm flipH="1">
            <a:off x="1799" y="6039"/>
            <a:ext cx="713" cy="3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275"/>
          <xdr:cNvSpPr>
            <a:spLocks/>
          </xdr:cNvSpPr>
        </xdr:nvSpPr>
        <xdr:spPr>
          <a:xfrm flipH="1">
            <a:off x="1779" y="5996"/>
            <a:ext cx="713" cy="3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AutoShape 276"/>
          <xdr:cNvSpPr>
            <a:spLocks/>
          </xdr:cNvSpPr>
        </xdr:nvSpPr>
        <xdr:spPr>
          <a:xfrm>
            <a:off x="1830" y="5926"/>
            <a:ext cx="597" cy="7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AutoShape 277"/>
          <xdr:cNvSpPr>
            <a:spLocks/>
          </xdr:cNvSpPr>
        </xdr:nvSpPr>
        <xdr:spPr>
          <a:xfrm flipH="1" flipV="1">
            <a:off x="1819" y="5913"/>
            <a:ext cx="673" cy="8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AutoShape 278"/>
          <xdr:cNvSpPr>
            <a:spLocks/>
          </xdr:cNvSpPr>
        </xdr:nvSpPr>
        <xdr:spPr>
          <a:xfrm flipH="1" flipV="1">
            <a:off x="2512" y="6039"/>
            <a:ext cx="1" cy="45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AutoShape 279"/>
          <xdr:cNvSpPr>
            <a:spLocks/>
          </xdr:cNvSpPr>
        </xdr:nvSpPr>
        <xdr:spPr>
          <a:xfrm flipH="1" flipV="1">
            <a:off x="1923" y="5827"/>
            <a:ext cx="673" cy="82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AutoShape 280"/>
          <xdr:cNvSpPr>
            <a:spLocks/>
          </xdr:cNvSpPr>
        </xdr:nvSpPr>
        <xdr:spPr>
          <a:xfrm>
            <a:off x="2492" y="5996"/>
            <a:ext cx="20" cy="4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AutoShape 281"/>
          <xdr:cNvSpPr>
            <a:spLocks/>
          </xdr:cNvSpPr>
        </xdr:nvSpPr>
        <xdr:spPr>
          <a:xfrm flipH="1" flipV="1">
            <a:off x="2596" y="5909"/>
            <a:ext cx="1" cy="45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AutoShape 282"/>
          <xdr:cNvSpPr>
            <a:spLocks/>
          </xdr:cNvSpPr>
        </xdr:nvSpPr>
        <xdr:spPr>
          <a:xfrm flipH="1">
            <a:off x="2513" y="6365"/>
            <a:ext cx="84" cy="70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161925</xdr:colOff>
      <xdr:row>50</xdr:row>
      <xdr:rowOff>180975</xdr:rowOff>
    </xdr:from>
    <xdr:to>
      <xdr:col>17</xdr:col>
      <xdr:colOff>85725</xdr:colOff>
      <xdr:row>53</xdr:row>
      <xdr:rowOff>76200</xdr:rowOff>
    </xdr:to>
    <xdr:grpSp>
      <xdr:nvGrpSpPr>
        <xdr:cNvPr id="206" name="Group 336"/>
        <xdr:cNvGrpSpPr>
          <a:grpSpLocks/>
        </xdr:cNvGrpSpPr>
      </xdr:nvGrpSpPr>
      <xdr:grpSpPr>
        <a:xfrm>
          <a:off x="2628900" y="11268075"/>
          <a:ext cx="723900" cy="590550"/>
          <a:chOff x="1780" y="9461"/>
          <a:chExt cx="816" cy="655"/>
        </a:xfrm>
        <a:solidFill>
          <a:srgbClr val="FFFFFF"/>
        </a:solidFill>
      </xdr:grpSpPr>
      <xdr:sp>
        <xdr:nvSpPr>
          <xdr:cNvPr id="207" name="AutoShape 337"/>
          <xdr:cNvSpPr>
            <a:spLocks/>
          </xdr:cNvSpPr>
        </xdr:nvSpPr>
        <xdr:spPr>
          <a:xfrm>
            <a:off x="1780" y="9601"/>
            <a:ext cx="16" cy="45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AutoShape 338"/>
          <xdr:cNvSpPr>
            <a:spLocks/>
          </xdr:cNvSpPr>
        </xdr:nvSpPr>
        <xdr:spPr>
          <a:xfrm flipH="1" flipV="1">
            <a:off x="1791" y="9614"/>
            <a:ext cx="16" cy="43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AutoShape 339"/>
          <xdr:cNvSpPr>
            <a:spLocks/>
          </xdr:cNvSpPr>
        </xdr:nvSpPr>
        <xdr:spPr>
          <a:xfrm flipH="1">
            <a:off x="1780" y="9510"/>
            <a:ext cx="101" cy="91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AutoShape 340"/>
          <xdr:cNvSpPr>
            <a:spLocks/>
          </xdr:cNvSpPr>
        </xdr:nvSpPr>
        <xdr:spPr>
          <a:xfrm flipH="1" flipV="1">
            <a:off x="1896" y="9623"/>
            <a:ext cx="12" cy="332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AutoShape 341"/>
          <xdr:cNvSpPr>
            <a:spLocks/>
          </xdr:cNvSpPr>
        </xdr:nvSpPr>
        <xdr:spPr>
          <a:xfrm>
            <a:off x="1796" y="10057"/>
            <a:ext cx="676" cy="59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AutoShape 342"/>
          <xdr:cNvSpPr>
            <a:spLocks/>
          </xdr:cNvSpPr>
        </xdr:nvSpPr>
        <xdr:spPr>
          <a:xfrm flipH="1" flipV="1">
            <a:off x="1807" y="10047"/>
            <a:ext cx="653" cy="5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AutoShape 343"/>
          <xdr:cNvSpPr>
            <a:spLocks/>
          </xdr:cNvSpPr>
        </xdr:nvSpPr>
        <xdr:spPr>
          <a:xfrm flipH="1" flipV="1">
            <a:off x="1908" y="9955"/>
            <a:ext cx="549" cy="48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AutoShape 344"/>
          <xdr:cNvSpPr>
            <a:spLocks/>
          </xdr:cNvSpPr>
        </xdr:nvSpPr>
        <xdr:spPr>
          <a:xfrm flipH="1">
            <a:off x="2568" y="9896"/>
            <a:ext cx="28" cy="2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AutoShape 345"/>
          <xdr:cNvSpPr>
            <a:spLocks/>
          </xdr:cNvSpPr>
        </xdr:nvSpPr>
        <xdr:spPr>
          <a:xfrm flipH="1">
            <a:off x="1908" y="9908"/>
            <a:ext cx="545" cy="4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AutoShape 346"/>
          <xdr:cNvSpPr>
            <a:spLocks/>
          </xdr:cNvSpPr>
        </xdr:nvSpPr>
        <xdr:spPr>
          <a:xfrm flipH="1">
            <a:off x="1807" y="9955"/>
            <a:ext cx="101" cy="92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AutoShape 347"/>
          <xdr:cNvSpPr>
            <a:spLocks/>
          </xdr:cNvSpPr>
        </xdr:nvSpPr>
        <xdr:spPr>
          <a:xfrm flipH="1">
            <a:off x="2455" y="9569"/>
            <a:ext cx="101" cy="91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AutoShape 348"/>
          <xdr:cNvSpPr>
            <a:spLocks/>
          </xdr:cNvSpPr>
        </xdr:nvSpPr>
        <xdr:spPr>
          <a:xfrm>
            <a:off x="1791" y="9614"/>
            <a:ext cx="653" cy="5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AutoShape 349"/>
          <xdr:cNvSpPr>
            <a:spLocks/>
          </xdr:cNvSpPr>
        </xdr:nvSpPr>
        <xdr:spPr>
          <a:xfrm flipH="1" flipV="1">
            <a:off x="1780" y="9601"/>
            <a:ext cx="675" cy="59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AutoShape 350"/>
          <xdr:cNvSpPr>
            <a:spLocks/>
          </xdr:cNvSpPr>
        </xdr:nvSpPr>
        <xdr:spPr>
          <a:xfrm>
            <a:off x="2444" y="9671"/>
            <a:ext cx="16" cy="43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AutoShape 351"/>
          <xdr:cNvSpPr>
            <a:spLocks/>
          </xdr:cNvSpPr>
        </xdr:nvSpPr>
        <xdr:spPr>
          <a:xfrm flipH="1" flipV="1">
            <a:off x="2455" y="9660"/>
            <a:ext cx="17" cy="456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AutoShape 352"/>
          <xdr:cNvSpPr>
            <a:spLocks/>
          </xdr:cNvSpPr>
        </xdr:nvSpPr>
        <xdr:spPr>
          <a:xfrm flipH="1" flipV="1">
            <a:off x="1881" y="9510"/>
            <a:ext cx="675" cy="59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AutoShape 353"/>
          <xdr:cNvSpPr>
            <a:spLocks/>
          </xdr:cNvSpPr>
        </xdr:nvSpPr>
        <xdr:spPr>
          <a:xfrm flipV="1">
            <a:off x="1958" y="9463"/>
            <a:ext cx="622" cy="54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AutoShape 354"/>
          <xdr:cNvSpPr>
            <a:spLocks/>
          </xdr:cNvSpPr>
        </xdr:nvSpPr>
        <xdr:spPr>
          <a:xfrm flipV="1">
            <a:off x="1945" y="9461"/>
            <a:ext cx="634" cy="55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AutoShape 355"/>
          <xdr:cNvSpPr>
            <a:spLocks/>
          </xdr:cNvSpPr>
        </xdr:nvSpPr>
        <xdr:spPr>
          <a:xfrm flipH="1" flipV="1">
            <a:off x="2556" y="9569"/>
            <a:ext cx="17" cy="457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AutoShape 356"/>
          <xdr:cNvSpPr>
            <a:spLocks/>
          </xdr:cNvSpPr>
        </xdr:nvSpPr>
        <xdr:spPr>
          <a:xfrm>
            <a:off x="2580" y="9463"/>
            <a:ext cx="16" cy="433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AutoShape 357"/>
          <xdr:cNvSpPr>
            <a:spLocks/>
          </xdr:cNvSpPr>
        </xdr:nvSpPr>
        <xdr:spPr>
          <a:xfrm flipH="1">
            <a:off x="2472" y="10026"/>
            <a:ext cx="101" cy="90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AutoShape 358"/>
          <xdr:cNvSpPr>
            <a:spLocks/>
          </xdr:cNvSpPr>
        </xdr:nvSpPr>
        <xdr:spPr>
          <a:xfrm>
            <a:off x="2579" y="9461"/>
            <a:ext cx="1" cy="2"/>
          </a:xfrm>
          <a:prstGeom prst="line">
            <a:avLst/>
          </a:prstGeom>
          <a:solidFill>
            <a:srgbClr val="FFFFFF"/>
          </a:solidFill>
          <a:ln w="825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10</xdr:row>
      <xdr:rowOff>28575</xdr:rowOff>
    </xdr:from>
    <xdr:to>
      <xdr:col>22</xdr:col>
      <xdr:colOff>85725</xdr:colOff>
      <xdr:row>12</xdr:row>
      <xdr:rowOff>219075</xdr:rowOff>
    </xdr:to>
    <xdr:grpSp>
      <xdr:nvGrpSpPr>
        <xdr:cNvPr id="229" name="Group 418"/>
        <xdr:cNvGrpSpPr>
          <a:grpSpLocks/>
        </xdr:cNvGrpSpPr>
      </xdr:nvGrpSpPr>
      <xdr:grpSpPr>
        <a:xfrm>
          <a:off x="3771900" y="2305050"/>
          <a:ext cx="581025" cy="685800"/>
          <a:chOff x="396" y="242"/>
          <a:chExt cx="61" cy="73"/>
        </a:xfrm>
        <a:solidFill>
          <a:srgbClr val="FFFFFF"/>
        </a:solidFill>
      </xdr:grpSpPr>
      <xdr:grpSp>
        <xdr:nvGrpSpPr>
          <xdr:cNvPr id="230" name="Group 11"/>
          <xdr:cNvGrpSpPr>
            <a:grpSpLocks/>
          </xdr:cNvGrpSpPr>
        </xdr:nvGrpSpPr>
        <xdr:grpSpPr>
          <a:xfrm>
            <a:off x="412" y="255"/>
            <a:ext cx="31" cy="46"/>
            <a:chOff x="5155" y="2517"/>
            <a:chExt cx="554" cy="828"/>
          </a:xfrm>
          <a:solidFill>
            <a:srgbClr val="FFFFFF"/>
          </a:solidFill>
        </xdr:grpSpPr>
        <xdr:sp>
          <xdr:nvSpPr>
            <xdr:cNvPr id="231" name="AutoShape 12"/>
            <xdr:cNvSpPr>
              <a:spLocks/>
            </xdr:cNvSpPr>
          </xdr:nvSpPr>
          <xdr:spPr>
            <a:xfrm flipH="1">
              <a:off x="5155" y="2517"/>
              <a:ext cx="107" cy="86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AutoShape 13"/>
            <xdr:cNvSpPr>
              <a:spLocks/>
            </xdr:cNvSpPr>
          </xdr:nvSpPr>
          <xdr:spPr>
            <a:xfrm>
              <a:off x="5155" y="3286"/>
              <a:ext cx="445" cy="59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AutoShape 14"/>
            <xdr:cNvSpPr>
              <a:spLocks/>
            </xdr:cNvSpPr>
          </xdr:nvSpPr>
          <xdr:spPr>
            <a:xfrm flipH="1" flipV="1">
              <a:off x="5166" y="3276"/>
              <a:ext cx="423" cy="55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AutoShape 15"/>
            <xdr:cNvSpPr>
              <a:spLocks/>
            </xdr:cNvSpPr>
          </xdr:nvSpPr>
          <xdr:spPr>
            <a:xfrm>
              <a:off x="5155" y="2603"/>
              <a:ext cx="1" cy="683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" name="AutoShape 16"/>
            <xdr:cNvSpPr>
              <a:spLocks/>
            </xdr:cNvSpPr>
          </xdr:nvSpPr>
          <xdr:spPr>
            <a:xfrm flipV="1">
              <a:off x="5166" y="2616"/>
              <a:ext cx="1" cy="660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" name="AutoShape 17"/>
            <xdr:cNvSpPr>
              <a:spLocks/>
            </xdr:cNvSpPr>
          </xdr:nvSpPr>
          <xdr:spPr>
            <a:xfrm flipH="1" flipV="1">
              <a:off x="5274" y="3190"/>
              <a:ext cx="315" cy="41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AutoShape 18"/>
            <xdr:cNvSpPr>
              <a:spLocks/>
            </xdr:cNvSpPr>
          </xdr:nvSpPr>
          <xdr:spPr>
            <a:xfrm flipV="1">
              <a:off x="5274" y="2630"/>
              <a:ext cx="1" cy="560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AutoShape 19"/>
            <xdr:cNvSpPr>
              <a:spLocks/>
            </xdr:cNvSpPr>
          </xdr:nvSpPr>
          <xdr:spPr>
            <a:xfrm flipH="1">
              <a:off x="5600" y="2575"/>
              <a:ext cx="108" cy="86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" name="AutoShape 20"/>
            <xdr:cNvSpPr>
              <a:spLocks/>
            </xdr:cNvSpPr>
          </xdr:nvSpPr>
          <xdr:spPr>
            <a:xfrm flipH="1">
              <a:off x="5166" y="3190"/>
              <a:ext cx="108" cy="86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" name="AutoShape 21"/>
            <xdr:cNvSpPr>
              <a:spLocks/>
            </xdr:cNvSpPr>
          </xdr:nvSpPr>
          <xdr:spPr>
            <a:xfrm>
              <a:off x="5589" y="2671"/>
              <a:ext cx="1" cy="660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" name="AutoShape 22"/>
            <xdr:cNvSpPr>
              <a:spLocks/>
            </xdr:cNvSpPr>
          </xdr:nvSpPr>
          <xdr:spPr>
            <a:xfrm flipV="1">
              <a:off x="5600" y="2661"/>
              <a:ext cx="1" cy="684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AutoShape 23"/>
            <xdr:cNvSpPr>
              <a:spLocks/>
            </xdr:cNvSpPr>
          </xdr:nvSpPr>
          <xdr:spPr>
            <a:xfrm flipV="1">
              <a:off x="5708" y="2575"/>
              <a:ext cx="1" cy="683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AutoShape 24"/>
            <xdr:cNvSpPr>
              <a:spLocks/>
            </xdr:cNvSpPr>
          </xdr:nvSpPr>
          <xdr:spPr>
            <a:xfrm>
              <a:off x="5166" y="2616"/>
              <a:ext cx="423" cy="55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AutoShape 25"/>
            <xdr:cNvSpPr>
              <a:spLocks/>
            </xdr:cNvSpPr>
          </xdr:nvSpPr>
          <xdr:spPr>
            <a:xfrm flipH="1" flipV="1">
              <a:off x="5155" y="2603"/>
              <a:ext cx="445" cy="58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AutoShape 26"/>
            <xdr:cNvSpPr>
              <a:spLocks/>
            </xdr:cNvSpPr>
          </xdr:nvSpPr>
          <xdr:spPr>
            <a:xfrm flipH="1" flipV="1">
              <a:off x="5262" y="2517"/>
              <a:ext cx="446" cy="58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AutoShape 27"/>
            <xdr:cNvSpPr>
              <a:spLocks/>
            </xdr:cNvSpPr>
          </xdr:nvSpPr>
          <xdr:spPr>
            <a:xfrm flipH="1">
              <a:off x="5600" y="3258"/>
              <a:ext cx="108" cy="87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7" name="TextBox 405"/>
          <xdr:cNvSpPr txBox="1">
            <a:spLocks noChangeArrowheads="1"/>
          </xdr:cNvSpPr>
        </xdr:nvSpPr>
        <xdr:spPr>
          <a:xfrm>
            <a:off x="396" y="270"/>
            <a:ext cx="1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248" name="TextBox 406"/>
          <xdr:cNvSpPr txBox="1">
            <a:spLocks noChangeArrowheads="1"/>
          </xdr:cNvSpPr>
        </xdr:nvSpPr>
        <xdr:spPr>
          <a:xfrm>
            <a:off x="447" y="274"/>
            <a:ext cx="10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249" name="TextBox 408"/>
          <xdr:cNvSpPr txBox="1">
            <a:spLocks noChangeArrowheads="1"/>
          </xdr:cNvSpPr>
        </xdr:nvSpPr>
        <xdr:spPr>
          <a:xfrm>
            <a:off x="430" y="242"/>
            <a:ext cx="11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O</a:t>
            </a:r>
          </a:p>
        </xdr:txBody>
      </xdr:sp>
      <xdr:sp>
        <xdr:nvSpPr>
          <xdr:cNvPr id="250" name="TextBox 409"/>
          <xdr:cNvSpPr txBox="1">
            <a:spLocks noChangeArrowheads="1"/>
          </xdr:cNvSpPr>
        </xdr:nvSpPr>
        <xdr:spPr>
          <a:xfrm>
            <a:off x="417" y="303"/>
            <a:ext cx="10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U</a:t>
            </a:r>
          </a:p>
        </xdr:txBody>
      </xdr:sp>
    </xdr:grpSp>
    <xdr:clientData/>
  </xdr:twoCellAnchor>
  <xdr:twoCellAnchor>
    <xdr:from>
      <xdr:col>24</xdr:col>
      <xdr:colOff>0</xdr:colOff>
      <xdr:row>10</xdr:row>
      <xdr:rowOff>57150</xdr:rowOff>
    </xdr:from>
    <xdr:to>
      <xdr:col>27</xdr:col>
      <xdr:colOff>171450</xdr:colOff>
      <xdr:row>12</xdr:row>
      <xdr:rowOff>180975</xdr:rowOff>
    </xdr:to>
    <xdr:grpSp>
      <xdr:nvGrpSpPr>
        <xdr:cNvPr id="251" name="Group 419"/>
        <xdr:cNvGrpSpPr>
          <a:grpSpLocks/>
        </xdr:cNvGrpSpPr>
      </xdr:nvGrpSpPr>
      <xdr:grpSpPr>
        <a:xfrm>
          <a:off x="4667250" y="2333625"/>
          <a:ext cx="771525" cy="619125"/>
          <a:chOff x="486" y="245"/>
          <a:chExt cx="81" cy="66"/>
        </a:xfrm>
        <a:solidFill>
          <a:srgbClr val="FFFFFF"/>
        </a:solidFill>
      </xdr:grpSpPr>
      <xdr:grpSp>
        <xdr:nvGrpSpPr>
          <xdr:cNvPr id="252" name="Group 1018"/>
          <xdr:cNvGrpSpPr>
            <a:grpSpLocks/>
          </xdr:cNvGrpSpPr>
        </xdr:nvGrpSpPr>
        <xdr:grpSpPr>
          <a:xfrm>
            <a:off x="500" y="257"/>
            <a:ext cx="52" cy="42"/>
            <a:chOff x="2880" y="2616"/>
            <a:chExt cx="779" cy="629"/>
          </a:xfrm>
          <a:solidFill>
            <a:srgbClr val="FFFFFF"/>
          </a:solidFill>
        </xdr:grpSpPr>
        <xdr:sp>
          <xdr:nvSpPr>
            <xdr:cNvPr id="253" name="AutoShape 1019"/>
            <xdr:cNvSpPr>
              <a:spLocks/>
            </xdr:cNvSpPr>
          </xdr:nvSpPr>
          <xdr:spPr>
            <a:xfrm flipH="1">
              <a:off x="2880" y="2616"/>
              <a:ext cx="108" cy="86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AutoShape 1020"/>
            <xdr:cNvSpPr>
              <a:spLocks/>
            </xdr:cNvSpPr>
          </xdr:nvSpPr>
          <xdr:spPr>
            <a:xfrm>
              <a:off x="2880" y="2702"/>
              <a:ext cx="1" cy="456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AutoShape 1021"/>
            <xdr:cNvSpPr>
              <a:spLocks/>
            </xdr:cNvSpPr>
          </xdr:nvSpPr>
          <xdr:spPr>
            <a:xfrm flipV="1">
              <a:off x="2892" y="2715"/>
              <a:ext cx="1" cy="433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AutoShape 1022"/>
            <xdr:cNvSpPr>
              <a:spLocks/>
            </xdr:cNvSpPr>
          </xdr:nvSpPr>
          <xdr:spPr>
            <a:xfrm flipH="1" flipV="1">
              <a:off x="2999" y="2729"/>
              <a:ext cx="1" cy="333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AutoShape 1023"/>
            <xdr:cNvSpPr>
              <a:spLocks/>
            </xdr:cNvSpPr>
          </xdr:nvSpPr>
          <xdr:spPr>
            <a:xfrm>
              <a:off x="2881" y="3158"/>
              <a:ext cx="669" cy="87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AutoShape 0"/>
            <xdr:cNvSpPr>
              <a:spLocks/>
            </xdr:cNvSpPr>
          </xdr:nvSpPr>
          <xdr:spPr>
            <a:xfrm flipH="1" flipV="1">
              <a:off x="2892" y="3148"/>
              <a:ext cx="647" cy="84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AutoShape 1"/>
            <xdr:cNvSpPr>
              <a:spLocks/>
            </xdr:cNvSpPr>
          </xdr:nvSpPr>
          <xdr:spPr>
            <a:xfrm flipH="1" flipV="1">
              <a:off x="3000" y="3062"/>
              <a:ext cx="539" cy="70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AutoShape 2"/>
            <xdr:cNvSpPr>
              <a:spLocks/>
            </xdr:cNvSpPr>
          </xdr:nvSpPr>
          <xdr:spPr>
            <a:xfrm flipH="1">
              <a:off x="2892" y="3062"/>
              <a:ext cx="108" cy="86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AutoShape 3"/>
            <xdr:cNvSpPr>
              <a:spLocks/>
            </xdr:cNvSpPr>
          </xdr:nvSpPr>
          <xdr:spPr>
            <a:xfrm flipH="1">
              <a:off x="3550" y="2703"/>
              <a:ext cx="108" cy="86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AutoShape 4"/>
            <xdr:cNvSpPr>
              <a:spLocks/>
            </xdr:cNvSpPr>
          </xdr:nvSpPr>
          <xdr:spPr>
            <a:xfrm>
              <a:off x="2892" y="2715"/>
              <a:ext cx="647" cy="84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AutoShape 5"/>
            <xdr:cNvSpPr>
              <a:spLocks/>
            </xdr:cNvSpPr>
          </xdr:nvSpPr>
          <xdr:spPr>
            <a:xfrm flipH="1" flipV="1">
              <a:off x="2880" y="2702"/>
              <a:ext cx="670" cy="87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" name="AutoShape 6"/>
            <xdr:cNvSpPr>
              <a:spLocks/>
            </xdr:cNvSpPr>
          </xdr:nvSpPr>
          <xdr:spPr>
            <a:xfrm>
              <a:off x="3539" y="2799"/>
              <a:ext cx="1" cy="433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AutoShape 7"/>
            <xdr:cNvSpPr>
              <a:spLocks/>
            </xdr:cNvSpPr>
          </xdr:nvSpPr>
          <xdr:spPr>
            <a:xfrm flipV="1">
              <a:off x="3550" y="2789"/>
              <a:ext cx="1" cy="456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AutoShape 8"/>
            <xdr:cNvSpPr>
              <a:spLocks/>
            </xdr:cNvSpPr>
          </xdr:nvSpPr>
          <xdr:spPr>
            <a:xfrm flipH="1" flipV="1">
              <a:off x="2988" y="2616"/>
              <a:ext cx="670" cy="87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" name="AutoShape 9"/>
            <xdr:cNvSpPr>
              <a:spLocks/>
            </xdr:cNvSpPr>
          </xdr:nvSpPr>
          <xdr:spPr>
            <a:xfrm flipV="1">
              <a:off x="3658" y="2703"/>
              <a:ext cx="1" cy="455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" name="AutoShape 10"/>
            <xdr:cNvSpPr>
              <a:spLocks/>
            </xdr:cNvSpPr>
          </xdr:nvSpPr>
          <xdr:spPr>
            <a:xfrm flipH="1">
              <a:off x="3550" y="3158"/>
              <a:ext cx="108" cy="87"/>
            </a:xfrm>
            <a:prstGeom prst="line">
              <a:avLst/>
            </a:prstGeom>
            <a:solidFill>
              <a:srgbClr val="FFFFFF"/>
            </a:solidFill>
            <a:ln w="825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9" name="TextBox 413"/>
          <xdr:cNvSpPr txBox="1">
            <a:spLocks noChangeArrowheads="1"/>
          </xdr:cNvSpPr>
        </xdr:nvSpPr>
        <xdr:spPr>
          <a:xfrm>
            <a:off x="486" y="269"/>
            <a:ext cx="1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270" name="TextBox 414"/>
          <xdr:cNvSpPr txBox="1">
            <a:spLocks noChangeArrowheads="1"/>
          </xdr:cNvSpPr>
        </xdr:nvSpPr>
        <xdr:spPr>
          <a:xfrm>
            <a:off x="557" y="278"/>
            <a:ext cx="10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271" name="TextBox 415"/>
          <xdr:cNvSpPr txBox="1">
            <a:spLocks noChangeArrowheads="1"/>
          </xdr:cNvSpPr>
        </xdr:nvSpPr>
        <xdr:spPr>
          <a:xfrm>
            <a:off x="527" y="245"/>
            <a:ext cx="11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O</a:t>
            </a:r>
          </a:p>
        </xdr:txBody>
      </xdr:sp>
      <xdr:sp>
        <xdr:nvSpPr>
          <xdr:cNvPr id="272" name="TextBox 416"/>
          <xdr:cNvSpPr txBox="1">
            <a:spLocks noChangeArrowheads="1"/>
          </xdr:cNvSpPr>
        </xdr:nvSpPr>
        <xdr:spPr>
          <a:xfrm>
            <a:off x="517" y="299"/>
            <a:ext cx="10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U</a:t>
            </a:r>
          </a:p>
        </xdr:txBody>
      </xdr:sp>
    </xdr:grpSp>
    <xdr:clientData/>
  </xdr:twoCellAnchor>
  <xdr:twoCellAnchor editAs="oneCell">
    <xdr:from>
      <xdr:col>1</xdr:col>
      <xdr:colOff>133350</xdr:colOff>
      <xdr:row>23</xdr:row>
      <xdr:rowOff>0</xdr:rowOff>
    </xdr:from>
    <xdr:to>
      <xdr:col>6</xdr:col>
      <xdr:colOff>114300</xdr:colOff>
      <xdr:row>26</xdr:row>
      <xdr:rowOff>28575</xdr:rowOff>
    </xdr:to>
    <xdr:pic>
      <xdr:nvPicPr>
        <xdr:cNvPr id="273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495925"/>
          <a:ext cx="981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22</xdr:row>
      <xdr:rowOff>228600</xdr:rowOff>
    </xdr:from>
    <xdr:to>
      <xdr:col>19</xdr:col>
      <xdr:colOff>95250</xdr:colOff>
      <xdr:row>26</xdr:row>
      <xdr:rowOff>0</xdr:rowOff>
    </xdr:to>
    <xdr:pic>
      <xdr:nvPicPr>
        <xdr:cNvPr id="274" name="Picture 4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5476875"/>
          <a:ext cx="981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22</xdr:row>
      <xdr:rowOff>228600</xdr:rowOff>
    </xdr:from>
    <xdr:to>
      <xdr:col>13</xdr:col>
      <xdr:colOff>47625</xdr:colOff>
      <xdr:row>26</xdr:row>
      <xdr:rowOff>19050</xdr:rowOff>
    </xdr:to>
    <xdr:pic>
      <xdr:nvPicPr>
        <xdr:cNvPr id="275" name="Picture 4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5476875"/>
          <a:ext cx="981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95250</xdr:colOff>
      <xdr:row>22</xdr:row>
      <xdr:rowOff>219075</xdr:rowOff>
    </xdr:from>
    <xdr:to>
      <xdr:col>32</xdr:col>
      <xdr:colOff>76200</xdr:colOff>
      <xdr:row>26</xdr:row>
      <xdr:rowOff>19050</xdr:rowOff>
    </xdr:to>
    <xdr:pic>
      <xdr:nvPicPr>
        <xdr:cNvPr id="276" name="Picture 4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62575" y="5467350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95250</xdr:colOff>
      <xdr:row>23</xdr:row>
      <xdr:rowOff>0</xdr:rowOff>
    </xdr:from>
    <xdr:to>
      <xdr:col>26</xdr:col>
      <xdr:colOff>76200</xdr:colOff>
      <xdr:row>26</xdr:row>
      <xdr:rowOff>9525</xdr:rowOff>
    </xdr:to>
    <xdr:pic>
      <xdr:nvPicPr>
        <xdr:cNvPr id="277" name="Picture 4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62425" y="5495925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47625</xdr:colOff>
      <xdr:row>0</xdr:row>
      <xdr:rowOff>66675</xdr:rowOff>
    </xdr:from>
    <xdr:to>
      <xdr:col>34</xdr:col>
      <xdr:colOff>114300</xdr:colOff>
      <xdr:row>2</xdr:row>
      <xdr:rowOff>152400</xdr:rowOff>
    </xdr:to>
    <xdr:pic>
      <xdr:nvPicPr>
        <xdr:cNvPr id="278" name="Picture 4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14900" y="66675"/>
          <a:ext cx="1866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447675</xdr:rowOff>
    </xdr:from>
    <xdr:to>
      <xdr:col>10</xdr:col>
      <xdr:colOff>733425</xdr:colOff>
      <xdr:row>3</xdr:row>
      <xdr:rowOff>114300</xdr:rowOff>
    </xdr:to>
    <xdr:pic macro="[0]!alleszeigen"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447675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485775</xdr:colOff>
      <xdr:row>0</xdr:row>
      <xdr:rowOff>447675</xdr:rowOff>
    </xdr:from>
    <xdr:to>
      <xdr:col>9</xdr:col>
      <xdr:colOff>457200</xdr:colOff>
      <xdr:row>3</xdr:row>
      <xdr:rowOff>114300</xdr:rowOff>
    </xdr:to>
    <xdr:pic macro="[0]!sort"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447675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85725</xdr:rowOff>
    </xdr:from>
    <xdr:to>
      <xdr:col>11</xdr:col>
      <xdr:colOff>342900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5725"/>
          <a:ext cx="1981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Archiv$\auf%20Laufwerk%20C\S-KALK%20CC-4000Update111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rwort"/>
      <sheetName val="CL"/>
      <sheetName val="AUSGABE"/>
      <sheetName val="PLATTEN"/>
      <sheetName val="APL-NEU"/>
      <sheetName val="KAT"/>
      <sheetName val="ZUBMAT"/>
      <sheetName val="VGZ-STÜLI"/>
      <sheetName val="VGZLST"/>
      <sheetName val="BEATOOL"/>
      <sheetName val="DB"/>
      <sheetName val="ÜBERSICHT"/>
      <sheetName val="APL"/>
      <sheetName val="KKRW"/>
      <sheetName val="LÄNGE"/>
      <sheetName val="CLD"/>
      <sheetName val="VGZ"/>
      <sheetName val="FLK"/>
      <sheetName val="PARA"/>
      <sheetName val="ZUB"/>
      <sheetName val="EKPL"/>
      <sheetName val="VERSCHLUSS"/>
      <sheetName val="ZNG"/>
      <sheetName val="TSBEA"/>
      <sheetName val="profabfrage"/>
      <sheetName val="Frei"/>
      <sheetName val="Frei (2)"/>
      <sheetName val="Freigabe"/>
      <sheetName val="Vergleich"/>
      <sheetName val="Tabelle2"/>
      <sheetName val="Tabelle3"/>
      <sheetName val="InfoBox"/>
      <sheetName val="Variablen"/>
    </sheetNames>
    <sheetDataSet>
      <sheetData sheetId="1">
        <row r="4">
          <cell r="E4" t="str">
            <v>Bernstein SARL</v>
          </cell>
        </row>
        <row r="9">
          <cell r="M9" t="str">
            <v>1234567890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BT153"/>
  <sheetViews>
    <sheetView showGridLines="0" tabSelected="1" workbookViewId="0" topLeftCell="A1">
      <selection activeCell="AN3" sqref="AN3"/>
    </sheetView>
  </sheetViews>
  <sheetFormatPr defaultColWidth="11.421875" defaultRowHeight="12.75"/>
  <cols>
    <col min="1" max="1" width="0.9921875" style="0" customWidth="1"/>
    <col min="2" max="34" width="3.00390625" style="0" customWidth="1"/>
    <col min="35" max="35" width="2.421875" style="0" customWidth="1"/>
    <col min="36" max="36" width="2.00390625" style="0" customWidth="1"/>
    <col min="37" max="37" width="11.57421875" style="0" hidden="1" customWidth="1"/>
    <col min="38" max="73" width="3.28125" style="0" customWidth="1"/>
  </cols>
  <sheetData>
    <row r="1" spans="1:36" ht="18">
      <c r="A1" s="315"/>
      <c r="B1" s="789" t="str">
        <f>IF(Abfrage!$B$2&gt;0,Sprache!B2,IF(Abfrage!$B$3&gt;0,Sprache!C2,IF(Abfrage!$B$4&gt;0,Sprache!D2,IF(Abfrage!$B$5&gt;0,Sprache!E2,0))))</f>
        <v>Gehäuse CC-3000</v>
      </c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88" t="str">
        <f>IF(Abfrage!$B$2&gt;0,Sprache!B3,IF(Abfrage!$B$3&gt;0,Sprache!C3,IF(Abfrage!$B$4&gt;0,Sprache!D3,IF(Abfrage!$B$5&gt;0,Sprache!E3,0))))</f>
        <v>Checkliste</v>
      </c>
      <c r="T1" s="788"/>
      <c r="U1" s="788"/>
      <c r="V1" s="788"/>
      <c r="W1" s="788"/>
      <c r="X1" s="788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7"/>
      <c r="AJ1" s="262"/>
    </row>
    <row r="2" spans="1:36" ht="12" customHeight="1">
      <c r="A2" s="2"/>
      <c r="B2" s="26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15"/>
      <c r="AJ2" s="2"/>
    </row>
    <row r="3" spans="1:36" ht="12.75">
      <c r="A3" s="10"/>
      <c r="B3" s="598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15"/>
      <c r="AJ3" s="10"/>
    </row>
    <row r="4" spans="1:36" ht="19.5" customHeight="1">
      <c r="A4" s="10"/>
      <c r="B4" s="318" t="str">
        <f>IF(Abfrage!$B$2&gt;0,Sprache!B4,IF(Abfrage!$B$3&gt;0,Sprache!C4,IF(Abfrage!$B$4&gt;0,Sprache!D4,IF(Abfrage!$B$5&gt;0,Sprache!E4,0))))</f>
        <v>Kunde</v>
      </c>
      <c r="C4" s="319"/>
      <c r="D4" s="319"/>
      <c r="E4" s="775"/>
      <c r="F4" s="775"/>
      <c r="G4" s="775"/>
      <c r="H4" s="775"/>
      <c r="I4" s="775"/>
      <c r="J4" s="775"/>
      <c r="K4" s="775"/>
      <c r="L4" s="775"/>
      <c r="M4" s="775"/>
      <c r="N4" s="320" t="str">
        <f>IF(Abfrage!$B$2&gt;0,Sprache!B5,IF(Abfrage!$B$3&gt;0,Sprache!C5,IF(Abfrage!$B$4&gt;0,Sprache!D5,IF(Abfrage!$B$5&gt;0,Sprache!E5,0))))</f>
        <v>Produktgruppe</v>
      </c>
      <c r="O4" s="319"/>
      <c r="P4" s="321"/>
      <c r="Q4" s="321"/>
      <c r="R4" s="321"/>
      <c r="S4" s="775"/>
      <c r="T4" s="786"/>
      <c r="U4" s="787"/>
      <c r="V4" s="318" t="str">
        <f>IF(Abfrage!$B$2&gt;0,Sprache!B6,IF(Abfrage!$B$3&gt;0,Sprache!C6,IF(Abfrage!$B$4&gt;0,Sprache!D6,IF(Abfrage!$B$5&gt;0,Sprache!E6,0))))</f>
        <v>Code</v>
      </c>
      <c r="W4" s="319"/>
      <c r="X4" s="775"/>
      <c r="Y4" s="776"/>
      <c r="Z4" s="784" t="str">
        <f>IF(Abfrage!$B$2&gt;0,Sprache!B7,IF(Abfrage!$B$3&gt;0,Sprache!C7,IF(Abfrage!$B$4&gt;0,Sprache!D7,IF(Abfrage!$B$5&gt;0,Sprache!E7,0))))</f>
        <v>Artikel-Nr.</v>
      </c>
      <c r="AA4" s="785"/>
      <c r="AB4" s="785"/>
      <c r="AC4" s="785"/>
      <c r="AD4" s="782"/>
      <c r="AE4" s="782"/>
      <c r="AF4" s="782"/>
      <c r="AG4" s="782"/>
      <c r="AH4" s="782"/>
      <c r="AI4" s="783"/>
      <c r="AJ4" s="10"/>
    </row>
    <row r="5" spans="1:36" ht="19.5" customHeight="1">
      <c r="A5" s="10"/>
      <c r="B5" s="318" t="str">
        <f>IF(Abfrage!$B$2&gt;0,Sprache!B8,IF(Abfrage!$B$3&gt;0,Sprache!C8,IF(Abfrage!$B$4&gt;0,Sprache!D8,IF(Abfrage!$B$5&gt;0,Sprache!E8,0))))</f>
        <v>Anschrift</v>
      </c>
      <c r="C5" s="319"/>
      <c r="D5" s="319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  <c r="Q5" s="775"/>
      <c r="R5" s="775"/>
      <c r="S5" s="775"/>
      <c r="T5" s="775"/>
      <c r="U5" s="775"/>
      <c r="V5" s="775"/>
      <c r="W5" s="775"/>
      <c r="X5" s="775"/>
      <c r="Y5" s="776"/>
      <c r="Z5" s="784" t="str">
        <f>IF(Abfrage!$B$2&gt;0,Sprache!B9,IF(Abfrage!$B$3&gt;0,Sprache!C9,IF(Abfrage!$B$4&gt;0,Sprache!D9,IF(Abfrage!$B$5&gt;0,Sprache!E9,0))))</f>
        <v>Kunden-Nr</v>
      </c>
      <c r="AA5" s="785"/>
      <c r="AB5" s="785"/>
      <c r="AC5" s="785"/>
      <c r="AD5" s="615"/>
      <c r="AE5" s="615"/>
      <c r="AF5" s="615"/>
      <c r="AG5" s="615"/>
      <c r="AH5" s="615"/>
      <c r="AI5" s="616"/>
      <c r="AJ5" s="10"/>
    </row>
    <row r="6" spans="1:36" ht="19.5" customHeight="1">
      <c r="A6" s="10"/>
      <c r="B6" s="318" t="str">
        <f>IF(Abfrage!$B$2&gt;0,Sprache!B10,IF(Abfrage!$B$3&gt;0,Sprache!C10,IF(Abfrage!$B$4&gt;0,Sprache!D10,IF(Abfrage!$B$5&gt;0,Sprache!E10,0))))</f>
        <v>Telefon</v>
      </c>
      <c r="C6" s="319"/>
      <c r="D6" s="319"/>
      <c r="E6" s="775"/>
      <c r="F6" s="775"/>
      <c r="G6" s="775"/>
      <c r="H6" s="775"/>
      <c r="I6" s="775"/>
      <c r="J6" s="775"/>
      <c r="K6" s="775"/>
      <c r="L6" s="775"/>
      <c r="M6" s="776"/>
      <c r="N6" s="318" t="str">
        <f>IF(Abfrage!$B$2&gt;0,Sprache!B11,IF(Abfrage!$B$3&gt;0,Sprache!C11,IF(Abfrage!$B$4&gt;0,Sprache!D11,IF(Abfrage!$B$5&gt;0,Sprache!E11,0))))</f>
        <v>Telefax</v>
      </c>
      <c r="O6" s="319"/>
      <c r="P6" s="319"/>
      <c r="Q6" s="775"/>
      <c r="R6" s="775"/>
      <c r="S6" s="775"/>
      <c r="T6" s="775"/>
      <c r="U6" s="775"/>
      <c r="V6" s="775"/>
      <c r="W6" s="775"/>
      <c r="X6" s="775"/>
      <c r="Y6" s="776"/>
      <c r="Z6" s="784" t="str">
        <f>IF(Abfrage!$B$2&gt;0,Sprache!B12,IF(Abfrage!$B$3&gt;0,Sprache!C12,IF(Abfrage!$B$4&gt;0,Sprache!D12,IF(Abfrage!$B$5&gt;0,Sprache!E12,0))))</f>
        <v>Branche</v>
      </c>
      <c r="AA6" s="785"/>
      <c r="AB6" s="785"/>
      <c r="AC6" s="785"/>
      <c r="AD6" s="785"/>
      <c r="AE6" s="615"/>
      <c r="AF6" s="773"/>
      <c r="AG6" s="773"/>
      <c r="AH6" s="773"/>
      <c r="AI6" s="774"/>
      <c r="AJ6" s="10"/>
    </row>
    <row r="7" spans="1:36" ht="19.5" customHeight="1">
      <c r="A7" s="10"/>
      <c r="B7" s="318" t="str">
        <f>IF(Abfrage!$B$2&gt;0,Sprache!B13,IF(Abfrage!$B$3&gt;0,Sprache!C13,IF(Abfrage!$B$4&gt;0,Sprache!D13,IF(Abfrage!$B$5&gt;0,Sprache!E13,0))))</f>
        <v>Ansprechpartner</v>
      </c>
      <c r="C7" s="319"/>
      <c r="D7" s="319"/>
      <c r="E7" s="319"/>
      <c r="F7" s="319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775"/>
      <c r="R7" s="775"/>
      <c r="S7" s="775"/>
      <c r="T7" s="775"/>
      <c r="U7" s="776"/>
      <c r="V7" s="322" t="str">
        <f>IF(Abfrage!$B$2&gt;0,Sprache!B14,IF(Abfrage!$B$3&gt;0,Sprache!C14,IF(Abfrage!$B$4&gt;0,Sprache!D14,IF(Abfrage!$B$5&gt;0,Sprache!E14,0))))</f>
        <v>Abteilung</v>
      </c>
      <c r="W7" s="319"/>
      <c r="X7" s="319"/>
      <c r="Y7" s="775"/>
      <c r="Z7" s="775"/>
      <c r="AA7" s="775"/>
      <c r="AB7" s="775"/>
      <c r="AC7" s="775"/>
      <c r="AD7" s="775"/>
      <c r="AE7" s="775"/>
      <c r="AF7" s="775"/>
      <c r="AG7" s="775"/>
      <c r="AH7" s="775"/>
      <c r="AI7" s="776"/>
      <c r="AJ7" s="10"/>
    </row>
    <row r="8" spans="1:36" ht="19.5" customHeight="1">
      <c r="A8" s="10"/>
      <c r="B8" s="323"/>
      <c r="C8" s="319"/>
      <c r="D8" s="324" t="str">
        <f>IF(Abfrage!$B$2&gt;0,Sprache!B15,IF(Abfrage!$B$3&gt;0,Sprache!C15,IF(Abfrage!$B$4&gt;0,Sprache!D15,IF(Abfrage!$B$5&gt;0,Sprache!E15,0))))</f>
        <v>Anfrage zur Preisorientierung</v>
      </c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25"/>
      <c r="V8" s="322" t="str">
        <f>IF(Abfrage!$B$2&gt;0,Sprache!B16,IF(Abfrage!$B$3&gt;0,Sprache!C16,IF(Abfrage!$B$4&gt;0,Sprache!D16,IF(Abfrage!$B$5&gt;0,Sprache!E16,0))))</f>
        <v>Zielpreis</v>
      </c>
      <c r="W8" s="319"/>
      <c r="X8" s="319"/>
      <c r="Y8" s="319"/>
      <c r="Z8" s="326"/>
      <c r="AA8" s="537"/>
      <c r="AB8" s="780"/>
      <c r="AC8" s="780"/>
      <c r="AD8" s="780"/>
      <c r="AE8" s="781"/>
      <c r="AF8" s="777" t="str">
        <f>IF(Abfrage!$B$2&gt;0,Sprache!B17,IF(Abfrage!$B$3&gt;0,Sprache!C17,IF(Abfrage!$B$4&gt;0,Sprache!D17,IF(Abfrage!$B$5&gt;0,Sprache!E17,0))))</f>
        <v>Stückzahl</v>
      </c>
      <c r="AG8" s="778"/>
      <c r="AH8" s="778"/>
      <c r="AI8" s="779"/>
      <c r="AJ8" s="10"/>
    </row>
    <row r="9" spans="1:36" ht="19.5" customHeight="1">
      <c r="A9" s="10"/>
      <c r="B9" s="323"/>
      <c r="C9" s="319"/>
      <c r="D9" s="327" t="str">
        <f>IF(Abfrage!$B$2&gt;0,Sprache!B18,IF(Abfrage!$B$3&gt;0,Sprache!C18,IF(Abfrage!$B$4&gt;0,Sprache!D18,IF(Abfrage!$B$5&gt;0,Sprache!E18,0))))</f>
        <v>Anfrage</v>
      </c>
      <c r="E9" s="319"/>
      <c r="F9" s="319"/>
      <c r="G9" s="316"/>
      <c r="H9" s="317"/>
      <c r="I9" s="328" t="str">
        <f>IF(Abfrage!$B$2&gt;0,Sprache!B19,IF(Abfrage!$B$3&gt;0,Sprache!C19,IF(Abfrage!$B$4&gt;0,Sprache!D19,IF(Abfrage!$B$5&gt;0,Sprache!E19,0))))</f>
        <v>Anfrage-Nr.</v>
      </c>
      <c r="J9" s="329"/>
      <c r="K9" s="330"/>
      <c r="L9" s="330"/>
      <c r="M9" s="775"/>
      <c r="N9" s="775"/>
      <c r="O9" s="775"/>
      <c r="P9" s="775"/>
      <c r="Q9" s="775"/>
      <c r="R9" s="775"/>
      <c r="S9" s="775"/>
      <c r="T9" s="775"/>
      <c r="U9" s="776"/>
      <c r="V9" s="322" t="str">
        <f>IF(Abfrage!$B$2&gt;0,Sprache!B20,IF(Abfrage!$B$3&gt;0,Sprache!C20,IF(Abfrage!$B$4&gt;0,Sprache!D20,IF(Abfrage!$B$5&gt;0,Sprache!E20,0))))</f>
        <v>Jahresbedarf</v>
      </c>
      <c r="W9" s="319"/>
      <c r="X9" s="319"/>
      <c r="Y9" s="319"/>
      <c r="Z9" s="326"/>
      <c r="AA9" s="537"/>
      <c r="AB9" s="780"/>
      <c r="AC9" s="780"/>
      <c r="AD9" s="780"/>
      <c r="AE9" s="781"/>
      <c r="AF9" s="736" t="s">
        <v>1032</v>
      </c>
      <c r="AG9" s="737"/>
      <c r="AH9" s="737"/>
      <c r="AI9" s="738"/>
      <c r="AJ9" s="10"/>
    </row>
    <row r="10" spans="1:36" ht="19.5" customHeight="1">
      <c r="A10" s="10"/>
      <c r="B10" s="331"/>
      <c r="C10" s="319"/>
      <c r="D10" s="327" t="str">
        <f>IF(Abfrage!$B$2&gt;0,Sprache!B21,IF(Abfrage!$B$3&gt;0,Sprache!C21,IF(Abfrage!$B$4&gt;0,Sprache!D21,IF(Abfrage!$B$5&gt;0,Sprache!E21,0))))</f>
        <v>Auftrag</v>
      </c>
      <c r="E10" s="319"/>
      <c r="F10" s="319"/>
      <c r="G10" s="319"/>
      <c r="H10" s="325"/>
      <c r="I10" s="319"/>
      <c r="J10" s="319"/>
      <c r="K10" s="319"/>
      <c r="L10" s="597" t="s">
        <v>93</v>
      </c>
      <c r="M10" s="798"/>
      <c r="N10" s="798"/>
      <c r="O10" s="798"/>
      <c r="P10" s="798"/>
      <c r="Q10" s="319"/>
      <c r="R10" s="319"/>
      <c r="S10" s="319"/>
      <c r="T10" s="319"/>
      <c r="U10" s="325"/>
      <c r="V10" s="322" t="str">
        <f>IF(Abfrage!$B$2&gt;0,Sprache!B22,IF(Abfrage!$B$3&gt;0,Sprache!C22,IF(Abfrage!$B$4&gt;0,Sprache!D22,IF(Abfrage!$B$5&gt;0,Sprache!E22,0))))</f>
        <v>Liefertermin</v>
      </c>
      <c r="W10" s="319"/>
      <c r="X10" s="319"/>
      <c r="Y10" s="319"/>
      <c r="Z10" s="326"/>
      <c r="AA10" s="537"/>
      <c r="AB10" s="780"/>
      <c r="AC10" s="780"/>
      <c r="AD10" s="780"/>
      <c r="AE10" s="781"/>
      <c r="AF10" s="736" t="s">
        <v>1032</v>
      </c>
      <c r="AG10" s="737"/>
      <c r="AH10" s="737"/>
      <c r="AI10" s="738"/>
      <c r="AJ10" s="10"/>
    </row>
    <row r="11" spans="1:36" ht="19.5" customHeight="1">
      <c r="A11" s="10"/>
      <c r="B11" s="332">
        <v>1</v>
      </c>
      <c r="C11" s="725" t="str">
        <f>IF(Abfrage!$B$2&gt;0,Sprache!B23,IF(Abfrage!$B$3&gt;0,Sprache!C23,IF(Abfrage!$B$4&gt;0,Sprache!D23,IF(Abfrage!$B$5&gt;0,Sprache!E23,0))))</f>
        <v>Gehäuse</v>
      </c>
      <c r="D11" s="796"/>
      <c r="E11" s="796"/>
      <c r="F11" s="796"/>
      <c r="G11" s="796"/>
      <c r="H11" s="334"/>
      <c r="I11" s="686" t="str">
        <f>IF(Abfrage!$B$2&gt;0,Sprache!B24,IF(Abfrage!$B$3&gt;0,Sprache!C24,IF(Abfrage!$B$4&gt;0,Sprache!D24,IF(Abfrage!$B$5&gt;0,Sprache!E24,0))))</f>
        <v>Standard</v>
      </c>
      <c r="J11" s="686"/>
      <c r="K11" s="686"/>
      <c r="L11" s="68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35"/>
      <c r="AA11" s="336"/>
      <c r="AB11" s="337"/>
      <c r="AC11" s="732" t="str">
        <f>IF(Abfrage!$B$2&gt;0,Sprache!B29,IF(Abfrage!$B$3&gt;0,Sprache!C29,IF(Abfrage!$B$4&gt;0,Sprache!D29,IF(Abfrage!$B$5&gt;0,Sprache!E29,0))))</f>
        <v>Voraussichtliches Einbaugewicht:</v>
      </c>
      <c r="AD11" s="732"/>
      <c r="AE11" s="732"/>
      <c r="AF11" s="732"/>
      <c r="AG11" s="732"/>
      <c r="AH11" s="732"/>
      <c r="AI11" s="733"/>
      <c r="AJ11" s="10"/>
    </row>
    <row r="12" spans="1:36" ht="19.5" customHeight="1">
      <c r="A12" s="10"/>
      <c r="B12" s="262"/>
      <c r="C12" s="2"/>
      <c r="D12" s="2"/>
      <c r="E12" s="2"/>
      <c r="F12" s="2"/>
      <c r="G12" s="2"/>
      <c r="H12" s="338"/>
      <c r="I12" s="686" t="str">
        <f>IF(Abfrage!$B$2&gt;0,Sprache!B25,IF(Abfrage!$B$3&gt;0,Sprache!C25,IF(Abfrage!$B$4&gt;0,Sprache!D25,IF(Abfrage!$B$5&gt;0,Sprache!E25,0))))</f>
        <v>Pultgehäuse, Oberteil</v>
      </c>
      <c r="J12" s="642"/>
      <c r="K12" s="642"/>
      <c r="L12" s="642"/>
      <c r="M12" s="642"/>
      <c r="N12" s="642"/>
      <c r="O12" s="642"/>
      <c r="P12" s="642"/>
      <c r="Q12" s="642"/>
      <c r="R12" s="642"/>
      <c r="S12" s="2"/>
      <c r="T12" s="2"/>
      <c r="U12" s="2"/>
      <c r="V12" s="2"/>
      <c r="W12" s="2"/>
      <c r="X12" s="2"/>
      <c r="Y12" s="2"/>
      <c r="Z12" s="339"/>
      <c r="AA12" s="339"/>
      <c r="AB12" s="340"/>
      <c r="AC12" s="734"/>
      <c r="AD12" s="734"/>
      <c r="AE12" s="734"/>
      <c r="AF12" s="734"/>
      <c r="AG12" s="734"/>
      <c r="AH12" s="734"/>
      <c r="AI12" s="735"/>
      <c r="AJ12" s="10"/>
    </row>
    <row r="13" spans="1:36" ht="19.5" customHeight="1">
      <c r="A13" s="10"/>
      <c r="B13" s="331"/>
      <c r="C13" s="2"/>
      <c r="D13" s="2"/>
      <c r="E13" s="2"/>
      <c r="F13" s="2"/>
      <c r="G13" s="2"/>
      <c r="H13" s="2"/>
      <c r="I13" s="692" t="str">
        <f>IF(Abfrage!$B$2&gt;0,Sprache!B26,IF(Abfrage!$B$3&gt;0,Sprache!C26,IF(Abfrage!$B$4&gt;0,Sprache!D26,IF(Abfrage!$B$5&gt;0,Sprache!E26,0))))</f>
        <v>Pultgehäuse, Unterteil</v>
      </c>
      <c r="J13" s="797"/>
      <c r="K13" s="797"/>
      <c r="L13" s="797"/>
      <c r="M13" s="797"/>
      <c r="N13" s="797"/>
      <c r="O13" s="797"/>
      <c r="P13" s="797"/>
      <c r="Q13" s="797"/>
      <c r="R13" s="797"/>
      <c r="S13" s="794" t="str">
        <f>IF(Abfrage!$B$2&gt;0,Sprache!B27,IF(Abfrage!$B$3&gt;0,Sprache!C27,IF(Abfrage!$B$4&gt;0,Sprache!D27,IF(Abfrage!$B$5&gt;0,Sprache!E27,0))))</f>
        <v>vorne</v>
      </c>
      <c r="T13" s="794"/>
      <c r="U13" s="2"/>
      <c r="V13" s="2"/>
      <c r="W13" s="2"/>
      <c r="X13" s="698" t="str">
        <f>IF(Abfrage!$B$2&gt;0,Sprache!B28,IF(Abfrage!$B$3&gt;0,Sprache!C28,IF(Abfrage!$B$4&gt;0,Sprache!D28,IF(Abfrage!$B$5&gt;0,Sprache!E28,0))))</f>
        <v>vorne</v>
      </c>
      <c r="Y13" s="698"/>
      <c r="Z13" s="2"/>
      <c r="AA13" s="2"/>
      <c r="AB13" s="439"/>
      <c r="AC13" s="2"/>
      <c r="AD13" s="702"/>
      <c r="AE13" s="703"/>
      <c r="AF13" s="704"/>
      <c r="AG13" s="2"/>
      <c r="AH13" s="344" t="s">
        <v>686</v>
      </c>
      <c r="AI13" s="315"/>
      <c r="AJ13" s="10"/>
    </row>
    <row r="14" spans="1:36" ht="19.5" customHeight="1">
      <c r="A14" s="10"/>
      <c r="B14" s="332">
        <v>2</v>
      </c>
      <c r="C14" s="333" t="str">
        <f>IF(Abfrage!$B$2&gt;0,Sprache!B30,IF(Abfrage!$B$3&gt;0,Sprache!C30,IF(Abfrage!$B$4&gt;0,Sprache!D30,IF(Abfrage!$B$5&gt;0,Sprache!E30,0))))</f>
        <v>Abmessungen (mm)</v>
      </c>
      <c r="D14" s="346"/>
      <c r="E14" s="346"/>
      <c r="F14" s="346"/>
      <c r="G14" s="346"/>
      <c r="H14" s="346"/>
      <c r="I14" s="347"/>
      <c r="J14" s="10"/>
      <c r="K14" s="701" t="str">
        <f>IF(Abfrage!$B$2&gt;0,Sprache!B31,IF(Abfrage!$B$3&gt;0,Sprache!C31,IF(Abfrage!$B$4&gt;0,Sprache!D31,IF(Abfrage!$B$5&gt;0,Sprache!E31,0))))</f>
        <v>(immer bezogen auf das Standardprofil)</v>
      </c>
      <c r="L14" s="701"/>
      <c r="M14" s="701"/>
      <c r="N14" s="701"/>
      <c r="O14" s="701"/>
      <c r="P14" s="701"/>
      <c r="Q14" s="701"/>
      <c r="R14" s="701"/>
      <c r="S14" s="701"/>
      <c r="T14" s="701"/>
      <c r="U14" s="792" t="str">
        <f>IF(Abfrage!$B$2&gt;0,Sprache!B38,IF(Abfrage!$B$3&gt;0,Sprache!C38,IF(Abfrage!$B$4&gt;0,Sprache!D38,IF(Abfrage!$B$5&gt;0,Sprache!E38,0))))</f>
        <v>Frontplatte: e x f = B - 40 x H - 40</v>
      </c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316"/>
      <c r="AI14" s="317"/>
      <c r="AJ14" s="10"/>
    </row>
    <row r="15" spans="1:36" ht="19.5" customHeight="1">
      <c r="A15" s="10"/>
      <c r="B15" s="262"/>
      <c r="C15" s="795" t="str">
        <f>IF(Abfrage!$B$2&gt;0,Sprache!B32,IF(Abfrage!$B$3&gt;0,Sprache!C32,IF(Abfrage!$B$4&gt;0,Sprache!D32,IF(Abfrage!$B$5&gt;0,Sprache!E32,0))))</f>
        <v>Gehäuseaussenmaß</v>
      </c>
      <c r="D15" s="795"/>
      <c r="E15" s="795"/>
      <c r="F15" s="795"/>
      <c r="G15" s="795"/>
      <c r="H15" s="795"/>
      <c r="I15" s="795"/>
      <c r="J15" s="795"/>
      <c r="K15" s="795"/>
      <c r="L15" s="795"/>
      <c r="M15" s="795"/>
      <c r="N15" s="795"/>
      <c r="O15" s="795"/>
      <c r="P15" s="795"/>
      <c r="Q15" s="795"/>
      <c r="R15" s="795"/>
      <c r="S15" s="2"/>
      <c r="T15" s="2"/>
      <c r="U15" s="26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315"/>
      <c r="AJ15" s="10"/>
    </row>
    <row r="16" spans="1:36" ht="19.5" customHeight="1">
      <c r="A16" s="10"/>
      <c r="B16" s="331"/>
      <c r="C16" s="791" t="str">
        <f>IF(Abfrage!$B$2&gt;0,Sprache!B33,IF(Abfrage!$B$3&gt;0,Sprache!C33,IF(Abfrage!$B$4&gt;0,Sprache!D33,IF(Abfrage!$B$5&gt;0,Sprache!E33,0))))</f>
        <v>Breite x Höhe (B x H):</v>
      </c>
      <c r="D16" s="791"/>
      <c r="E16" s="791"/>
      <c r="F16" s="791"/>
      <c r="G16" s="791"/>
      <c r="H16" s="791"/>
      <c r="I16" s="791"/>
      <c r="J16" s="791"/>
      <c r="K16" s="342"/>
      <c r="L16" s="623"/>
      <c r="M16" s="708"/>
      <c r="N16" s="709"/>
      <c r="O16" s="349" t="s">
        <v>687</v>
      </c>
      <c r="P16" s="623"/>
      <c r="Q16" s="708"/>
      <c r="R16" s="709"/>
      <c r="S16" s="2"/>
      <c r="T16" s="2"/>
      <c r="U16" s="706" t="str">
        <f>IF(Abfrage!$B$2&gt;0,Sprache!B39,IF(Abfrage!$B$3&gt;0,Sprache!C39,IF(Abfrage!$B$4&gt;0,Sprache!D39,IF(Abfrage!$B$5&gt;0,Sprache!E39,0))))</f>
        <v>Belegungsfläche: B - 54 x H - 54</v>
      </c>
      <c r="V16" s="707"/>
      <c r="W16" s="707"/>
      <c r="X16" s="707"/>
      <c r="Y16" s="707"/>
      <c r="Z16" s="707"/>
      <c r="AA16" s="707"/>
      <c r="AB16" s="707"/>
      <c r="AC16" s="707"/>
      <c r="AD16" s="707"/>
      <c r="AE16" s="707"/>
      <c r="AF16" s="707"/>
      <c r="AG16" s="707"/>
      <c r="AH16" s="2"/>
      <c r="AI16" s="315"/>
      <c r="AJ16" s="10"/>
    </row>
    <row r="17" spans="1:36" ht="19.5" customHeight="1">
      <c r="A17" s="10"/>
      <c r="B17" s="262"/>
      <c r="C17" s="705" t="str">
        <f>IF(Abfrage!$B$2&gt;0,Sprache!B34,IF(Abfrage!$B$3&gt;0,Sprache!C34,IF(Abfrage!$B$4&gt;0,Sprache!D34,IF(Abfrage!$B$5&gt;0,Sprache!E34,0))))</f>
        <v>Frontplattenmaß (e x f):</v>
      </c>
      <c r="D17" s="705"/>
      <c r="E17" s="705"/>
      <c r="F17" s="705"/>
      <c r="G17" s="705"/>
      <c r="H17" s="705"/>
      <c r="I17" s="705"/>
      <c r="J17" s="705"/>
      <c r="K17" s="705"/>
      <c r="L17" s="715">
        <f>L16-40</f>
        <v>-40</v>
      </c>
      <c r="M17" s="716"/>
      <c r="N17" s="717"/>
      <c r="O17" s="349" t="s">
        <v>687</v>
      </c>
      <c r="P17" s="715">
        <f>P16-40</f>
        <v>-40</v>
      </c>
      <c r="Q17" s="716"/>
      <c r="R17" s="717"/>
      <c r="S17" s="2"/>
      <c r="T17" s="2"/>
      <c r="U17" s="718" t="str">
        <f>IF(Abfrage!$B$2&gt;0,Sprache!B40,IF(Abfrage!$B$3&gt;0,Sprache!C40,IF(Abfrage!$B$4&gt;0,Sprache!D40,IF(Abfrage!$B$5&gt;0,Sprache!E40,0))))</f>
        <v>bei Frontplatte von innen</v>
      </c>
      <c r="V17" s="719"/>
      <c r="W17" s="719"/>
      <c r="X17" s="719"/>
      <c r="Y17" s="719"/>
      <c r="Z17" s="719"/>
      <c r="AA17" s="719"/>
      <c r="AB17" s="719"/>
      <c r="AC17" s="719"/>
      <c r="AD17" s="719"/>
      <c r="AE17" s="719"/>
      <c r="AF17" s="719"/>
      <c r="AG17" s="719"/>
      <c r="AH17" s="2"/>
      <c r="AI17" s="315"/>
      <c r="AJ17" s="10"/>
    </row>
    <row r="18" spans="1:36" ht="19.5" customHeight="1">
      <c r="A18" s="10"/>
      <c r="B18" s="331"/>
      <c r="C18" s="710" t="s">
        <v>756</v>
      </c>
      <c r="D18" s="710"/>
      <c r="E18" s="710"/>
      <c r="F18" s="710"/>
      <c r="G18" s="710"/>
      <c r="H18" s="711"/>
      <c r="I18" s="711"/>
      <c r="J18" s="711"/>
      <c r="K18" s="711"/>
      <c r="L18" s="350"/>
      <c r="M18" s="350"/>
      <c r="N18" s="350"/>
      <c r="O18" s="351"/>
      <c r="P18" s="350"/>
      <c r="Q18" s="350"/>
      <c r="R18" s="352"/>
      <c r="S18" s="2"/>
      <c r="T18" s="2"/>
      <c r="U18" s="26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315"/>
      <c r="AJ18" s="10"/>
    </row>
    <row r="19" spans="1:36" ht="19.5" customHeight="1">
      <c r="A19" s="10"/>
      <c r="B19" s="262"/>
      <c r="C19" s="705" t="str">
        <f>IF(Abfrage!$B$2&gt;0,Sprache!B35,IF(Abfrage!$B$3&gt;0,Sprache!C35,IF(Abfrage!$B$4&gt;0,Sprache!D35,IF(Abfrage!$B$5&gt;0,Sprache!E35,0))))</f>
        <v>Rückwandmaß (b x h):</v>
      </c>
      <c r="D19" s="705"/>
      <c r="E19" s="705"/>
      <c r="F19" s="705"/>
      <c r="G19" s="705"/>
      <c r="H19" s="705"/>
      <c r="I19" s="705"/>
      <c r="J19" s="705"/>
      <c r="K19" s="705"/>
      <c r="L19" s="712">
        <f>IF(Abfrage!$B$48&gt;0,$L$16-7,IF(Abfrage!$B$97+Abfrage!$B$98&gt;0,$L$16-9,$L$16-40))</f>
        <v>-40</v>
      </c>
      <c r="M19" s="713"/>
      <c r="N19" s="714"/>
      <c r="O19" s="353" t="s">
        <v>687</v>
      </c>
      <c r="P19" s="712">
        <f>IF(Abfrage!$B$48&gt;0,$P$16-7,IF(Abfrage!$B$97+Abfrage!$B$98&gt;0,$P$16-9,$P$16-40))</f>
        <v>-40</v>
      </c>
      <c r="Q19" s="713"/>
      <c r="R19" s="714"/>
      <c r="S19" s="2"/>
      <c r="T19" s="2"/>
      <c r="U19" s="706" t="str">
        <f>IF(Abfrage!$B$2&gt;0,Sprache!B41,IF(Abfrage!$B$3&gt;0,Sprache!C41,IF(Abfrage!$B$4&gt;0,Sprache!D41,IF(Abfrage!$B$5&gt;0,Sprache!E41,0))))</f>
        <v>Belegungsfläche: B - 74 x H - 74</v>
      </c>
      <c r="V19" s="707"/>
      <c r="W19" s="707"/>
      <c r="X19" s="707"/>
      <c r="Y19" s="707"/>
      <c r="Z19" s="707"/>
      <c r="AA19" s="707"/>
      <c r="AB19" s="707"/>
      <c r="AC19" s="707"/>
      <c r="AD19" s="707"/>
      <c r="AE19" s="707"/>
      <c r="AF19" s="707"/>
      <c r="AG19" s="707"/>
      <c r="AH19" s="2"/>
      <c r="AI19" s="315"/>
      <c r="AJ19" s="10"/>
    </row>
    <row r="20" spans="1:36" ht="19.5" customHeight="1">
      <c r="A20" s="10"/>
      <c r="B20" s="262"/>
      <c r="C20" s="531" t="str">
        <f>IF(Abfrage!$B$2&gt;0,Sprache!B36,IF(Abfrage!$B$3&gt;0,Sprache!C36,IF(Abfrage!$B$4&gt;0,Sprache!D36,IF(Abfrage!$B$5&gt;0,Sprache!E36,0))))</f>
        <v>Fest verschraubte Rückwand: </v>
      </c>
      <c r="D20" s="531"/>
      <c r="E20" s="531"/>
      <c r="F20" s="531"/>
      <c r="G20" s="531"/>
      <c r="H20" s="531"/>
      <c r="I20" s="531"/>
      <c r="J20" s="531"/>
      <c r="K20" s="531" t="s">
        <v>646</v>
      </c>
      <c r="L20" s="531"/>
      <c r="M20" s="531"/>
      <c r="N20" s="531"/>
      <c r="O20" s="354"/>
      <c r="P20" s="354"/>
      <c r="Q20" s="354"/>
      <c r="R20" s="354"/>
      <c r="S20" s="338"/>
      <c r="T20" s="338"/>
      <c r="U20" s="697" t="str">
        <f>IF(Abfrage!$B$2&gt;0,Sprache!B42,IF(Abfrage!$B$3&gt;0,Sprache!C42,IF(Abfrage!$B$4&gt;0,Sprache!D42,IF(Abfrage!$B$5&gt;0,Sprache!E42,0))))</f>
        <v>bei Frontplatte von aussen</v>
      </c>
      <c r="V20" s="698"/>
      <c r="W20" s="698"/>
      <c r="X20" s="698"/>
      <c r="Y20" s="698"/>
      <c r="Z20" s="698"/>
      <c r="AA20" s="698"/>
      <c r="AB20" s="698"/>
      <c r="AC20" s="698"/>
      <c r="AD20" s="698"/>
      <c r="AE20" s="698"/>
      <c r="AF20" s="698"/>
      <c r="AG20" s="698"/>
      <c r="AH20" s="2"/>
      <c r="AI20" s="315"/>
      <c r="AJ20" s="10"/>
    </row>
    <row r="21" spans="1:36" ht="19.5" customHeight="1">
      <c r="A21" s="10"/>
      <c r="B21" s="262"/>
      <c r="C21" s="533" t="str">
        <f>IF(Abfrage!$B$2&gt;0,Sprache!B37,IF(Abfrage!$B$3&gt;0,Sprache!C37,IF(Abfrage!$B$4&gt;0,Sprache!D37,IF(Abfrage!$B$5&gt;0,Sprache!E37,0))))</f>
        <v>Schwenkbare Rückwand:</v>
      </c>
      <c r="D21" s="533"/>
      <c r="E21" s="533"/>
      <c r="F21" s="533"/>
      <c r="G21" s="533"/>
      <c r="H21" s="533"/>
      <c r="I21" s="533"/>
      <c r="J21" s="533"/>
      <c r="K21" s="533" t="s">
        <v>647</v>
      </c>
      <c r="L21" s="533"/>
      <c r="M21" s="533"/>
      <c r="N21" s="533"/>
      <c r="O21" s="355"/>
      <c r="P21" s="355"/>
      <c r="Q21" s="355"/>
      <c r="R21" s="355"/>
      <c r="S21" s="338"/>
      <c r="T21" s="338"/>
      <c r="U21" s="699" t="str">
        <f>IF(Abfrage!$B$2&gt;0,Sprache!B43,IF(Abfrage!$B$3&gt;0,Sprache!C43,IF(Abfrage!$B$4&gt;0,Sprache!D43,IF(Abfrage!$B$5&gt;0,Sprache!E43,0))))</f>
        <v>Gehäusemaß: (B x H)</v>
      </c>
      <c r="V21" s="700"/>
      <c r="W21" s="700"/>
      <c r="X21" s="700"/>
      <c r="Y21" s="700"/>
      <c r="Z21" s="700"/>
      <c r="AA21" s="700"/>
      <c r="AB21" s="700"/>
      <c r="AC21" s="700"/>
      <c r="AD21" s="700"/>
      <c r="AE21" s="700"/>
      <c r="AF21" s="700"/>
      <c r="AG21" s="700"/>
      <c r="AH21" s="342"/>
      <c r="AI21" s="345"/>
      <c r="AJ21" s="10"/>
    </row>
    <row r="22" spans="1:36" ht="19.5" customHeight="1">
      <c r="A22" s="10"/>
      <c r="B22" s="356">
        <v>3</v>
      </c>
      <c r="C22" s="357" t="str">
        <f>IF(Abfrage!$B$2&gt;0,Sprache!B44,IF(Abfrage!$B$3&gt;0,Sprache!C44,IF(Abfrage!$B$4&gt;0,Sprache!D44,IF(Abfrage!$B$5&gt;0,Sprache!E44,0))))</f>
        <v>Frontdesign (Auswahl Griffprofile)</v>
      </c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80"/>
      <c r="AJ22" s="10"/>
    </row>
    <row r="23" spans="1:36" ht="19.5" customHeight="1">
      <c r="A23" s="10"/>
      <c r="B23" s="360"/>
      <c r="C23" s="361"/>
      <c r="D23" s="361"/>
      <c r="E23" s="362"/>
      <c r="F23" s="362"/>
      <c r="G23" s="362"/>
      <c r="H23" s="362"/>
      <c r="I23" s="363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5"/>
      <c r="V23" s="364"/>
      <c r="W23" s="364"/>
      <c r="X23" s="366"/>
      <c r="Y23" s="364"/>
      <c r="Z23" s="364"/>
      <c r="AA23" s="364"/>
      <c r="AB23" s="364"/>
      <c r="AC23" s="364"/>
      <c r="AD23" s="364"/>
      <c r="AE23" s="364"/>
      <c r="AF23" s="365"/>
      <c r="AG23" s="365"/>
      <c r="AH23" s="367"/>
      <c r="AI23" s="368"/>
      <c r="AJ23" s="10"/>
    </row>
    <row r="24" spans="1:36" ht="19.5" customHeight="1">
      <c r="A24" s="10"/>
      <c r="B24" s="369"/>
      <c r="C24" s="361"/>
      <c r="D24" s="362"/>
      <c r="E24" s="362"/>
      <c r="F24" s="362"/>
      <c r="G24" s="362"/>
      <c r="H24" s="362"/>
      <c r="I24" s="364"/>
      <c r="J24" s="364"/>
      <c r="K24" s="364"/>
      <c r="L24" s="364"/>
      <c r="M24" s="364"/>
      <c r="N24" s="364"/>
      <c r="O24" s="364"/>
      <c r="P24" s="364"/>
      <c r="Q24" s="370"/>
      <c r="R24" s="364"/>
      <c r="S24" s="371"/>
      <c r="T24" s="371"/>
      <c r="U24" s="371"/>
      <c r="V24" s="371"/>
      <c r="W24" s="364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68"/>
      <c r="AJ24" s="10"/>
    </row>
    <row r="25" spans="1:35" ht="19.5" customHeight="1">
      <c r="A25" s="10"/>
      <c r="B25" s="369"/>
      <c r="C25" s="373"/>
      <c r="D25" s="374"/>
      <c r="E25" s="373"/>
      <c r="F25" s="364"/>
      <c r="G25" s="364"/>
      <c r="H25" s="364"/>
      <c r="I25" s="364"/>
      <c r="J25" s="364"/>
      <c r="K25" s="374"/>
      <c r="L25" s="375"/>
      <c r="M25" s="375"/>
      <c r="N25" s="375"/>
      <c r="O25" s="375"/>
      <c r="P25" s="364"/>
      <c r="Q25" s="374"/>
      <c r="R25" s="364"/>
      <c r="S25" s="376"/>
      <c r="T25" s="376"/>
      <c r="U25" s="376"/>
      <c r="V25" s="376"/>
      <c r="W25" s="364"/>
      <c r="X25" s="374"/>
      <c r="Y25" s="377"/>
      <c r="Z25" s="377"/>
      <c r="AA25" s="377"/>
      <c r="AB25" s="377"/>
      <c r="AC25" s="377"/>
      <c r="AD25" s="374"/>
      <c r="AE25" s="377"/>
      <c r="AF25" s="377"/>
      <c r="AG25" s="377"/>
      <c r="AH25" s="377"/>
      <c r="AI25" s="368"/>
    </row>
    <row r="26" spans="1:35" ht="19.5" customHeight="1">
      <c r="A26" s="10"/>
      <c r="B26" s="378"/>
      <c r="C26" s="37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8"/>
    </row>
    <row r="27" spans="1:35" ht="19.5" customHeight="1">
      <c r="A27" s="10"/>
      <c r="B27" s="360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80"/>
    </row>
    <row r="28" spans="1:35" ht="19.5" customHeight="1">
      <c r="A28" s="10"/>
      <c r="B28" s="381"/>
      <c r="C28" s="669" t="str">
        <f>IF(Abfrage!$B$2&gt;0,Sprache!B45,IF(Abfrage!$B$3&gt;0,Sprache!C45,IF(Abfrage!$B$4&gt;0,Sprache!D45,IF(Abfrage!$B$5&gt;0,Sprache!E45,0))))</f>
        <v>ohne</v>
      </c>
      <c r="D28" s="669"/>
      <c r="E28" s="669"/>
      <c r="F28" s="383"/>
      <c r="G28" s="383"/>
      <c r="H28" s="383"/>
      <c r="I28" s="383"/>
      <c r="J28" s="663" t="str">
        <f>IF(Abfrage!$B$2&gt;0,Sprache!B46,IF(Abfrage!$B$3&gt;0,Sprache!C46,IF(Abfrage!$B$4&gt;0,Sprache!D46,IF(Abfrage!$B$5&gt;0,Sprache!E46,0))))</f>
        <v>unten</v>
      </c>
      <c r="K28" s="663"/>
      <c r="L28" s="663"/>
      <c r="M28" s="383"/>
      <c r="N28" s="663" t="str">
        <f>IF(Abfrage!$B$2&gt;0,Sprache!B47,IF(Abfrage!$B$3&gt;0,Sprache!C47,IF(Abfrage!$B$4&gt;0,Sprache!D47,IF(Abfrage!$B$5&gt;0,Sprache!E47,0))))</f>
        <v>links + rechts</v>
      </c>
      <c r="O28" s="663"/>
      <c r="P28" s="663"/>
      <c r="Q28" s="663"/>
      <c r="R28" s="663"/>
      <c r="S28" s="663"/>
      <c r="T28" s="663"/>
      <c r="U28" s="663" t="str">
        <f>IF(Abfrage!$B$2&gt;0,Sprache!B48,IF(Abfrage!$B$3&gt;0,Sprache!C48,IF(Abfrage!$B$4&gt;0,Sprache!D48,IF(Abfrage!$B$5&gt;0,Sprache!E48,0))))</f>
        <v>links + rechts + unten</v>
      </c>
      <c r="V28" s="663"/>
      <c r="W28" s="663"/>
      <c r="X28" s="663"/>
      <c r="Y28" s="663"/>
      <c r="Z28" s="663"/>
      <c r="AA28" s="663"/>
      <c r="AB28" s="383"/>
      <c r="AC28" s="383"/>
      <c r="AD28" s="382" t="str">
        <f>IF(Abfrage!$B$2&gt;0,Sprache!B49,IF(Abfrage!$B$3&gt;0,Sprache!C49,IF(Abfrage!$B$4&gt;0,Sprache!D49,IF(Abfrage!$B$5&gt;0,Sprache!E49,0))))</f>
        <v>umlaufend</v>
      </c>
      <c r="AE28" s="383"/>
      <c r="AF28" s="383"/>
      <c r="AG28" s="383"/>
      <c r="AH28" s="383"/>
      <c r="AI28" s="384"/>
    </row>
    <row r="29" spans="1:43" ht="19.5" customHeight="1">
      <c r="A29" s="10"/>
      <c r="B29" s="666" t="str">
        <f>IF(Abfrage!$B$2&gt;0,Sprache!B50,IF(Abfrage!$B$3&gt;0,Sprache!C50,IF(Abfrage!$B$4&gt;0,Sprache!D50,IF(Abfrage!$B$5&gt;0,Sprache!E50,0))))</f>
        <v>! Achtung: An der Seite wo ein Griffprofil gewählt wird, vergrößert sich das Gehäuseaußenmaß jeweils um 16,5mm !</v>
      </c>
      <c r="C29" s="667"/>
      <c r="D29" s="667"/>
      <c r="E29" s="667"/>
      <c r="F29" s="667"/>
      <c r="G29" s="667"/>
      <c r="H29" s="667"/>
      <c r="I29" s="667"/>
      <c r="J29" s="667"/>
      <c r="K29" s="667"/>
      <c r="L29" s="667"/>
      <c r="M29" s="667"/>
      <c r="N29" s="667"/>
      <c r="O29" s="667"/>
      <c r="P29" s="667"/>
      <c r="Q29" s="667"/>
      <c r="R29" s="667"/>
      <c r="S29" s="667"/>
      <c r="T29" s="667"/>
      <c r="U29" s="667"/>
      <c r="V29" s="667"/>
      <c r="W29" s="667"/>
      <c r="X29" s="667"/>
      <c r="Y29" s="667"/>
      <c r="Z29" s="667"/>
      <c r="AA29" s="667"/>
      <c r="AB29" s="667"/>
      <c r="AC29" s="667"/>
      <c r="AD29" s="667"/>
      <c r="AE29" s="667"/>
      <c r="AF29" s="667"/>
      <c r="AG29" s="667"/>
      <c r="AH29" s="667"/>
      <c r="AI29" s="668"/>
      <c r="AK29" s="1"/>
      <c r="AL29" s="1"/>
      <c r="AM29" s="1"/>
      <c r="AN29" s="1"/>
      <c r="AO29" s="1"/>
      <c r="AP29" s="1"/>
      <c r="AQ29" s="1"/>
    </row>
    <row r="30" spans="1:43" ht="19.5" customHeight="1">
      <c r="A30" s="10"/>
      <c r="B30" s="332">
        <v>4</v>
      </c>
      <c r="C30" s="743" t="str">
        <f>IF(Abfrage!$B$2&gt;0,Sprache!B51,IF(Abfrage!$B$3&gt;0,Sprache!C51,IF(Abfrage!$B$4&gt;0,Sprache!D51,IF(Abfrage!$B$5&gt;0,Sprache!E51,0))))</f>
        <v>Gehäuse OHNE Türprofil</v>
      </c>
      <c r="D30" s="744"/>
      <c r="E30" s="744"/>
      <c r="F30" s="744"/>
      <c r="G30" s="744"/>
      <c r="H30" s="744"/>
      <c r="I30" s="744"/>
      <c r="J30" s="744"/>
      <c r="K30" s="744"/>
      <c r="L30" s="744"/>
      <c r="M30" s="744"/>
      <c r="N30" s="744"/>
      <c r="O30" s="744"/>
      <c r="P30" s="313"/>
      <c r="Q30" s="313"/>
      <c r="R30" s="313"/>
      <c r="S30" s="313"/>
      <c r="T30" s="316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317"/>
      <c r="AJ30" s="757" t="s">
        <v>1193</v>
      </c>
      <c r="AK30" s="8"/>
      <c r="AL30" s="8"/>
      <c r="AM30" s="8"/>
      <c r="AN30" s="8"/>
      <c r="AO30" s="8"/>
      <c r="AP30" s="8"/>
      <c r="AQ30" s="8"/>
    </row>
    <row r="31" spans="1:43" ht="19.5" customHeight="1">
      <c r="A31" s="10"/>
      <c r="B31" s="801" t="str">
        <f>IF(Abfrage!$B$2&gt;0,Sprache!B52,IF(Abfrage!$B$3&gt;0,Sprache!C52,IF(Abfrage!$B$4&gt;0,Sprache!D52,IF(Abfrage!$B$5&gt;0,Sprache!E52,0))))</f>
        <v>Gehäusetiefe:</v>
      </c>
      <c r="C31" s="802"/>
      <c r="D31" s="802"/>
      <c r="E31" s="802"/>
      <c r="F31" s="802"/>
      <c r="G31" s="802"/>
      <c r="H31" s="803"/>
      <c r="I31" s="762" t="str">
        <f>IF(Abfrage!$B$2&gt;0,Sprache!B53,IF(Abfrage!$B$3&gt;0,Sprache!C53,IF(Abfrage!$B$4&gt;0,Sprache!D53,IF(Abfrage!$B$5&gt;0,Sprache!E53,0))))</f>
        <v>Lage der Frontplatte:</v>
      </c>
      <c r="J31" s="760"/>
      <c r="K31" s="760"/>
      <c r="L31" s="760"/>
      <c r="M31" s="760"/>
      <c r="N31" s="760"/>
      <c r="O31" s="760"/>
      <c r="P31" s="760"/>
      <c r="Q31" s="760"/>
      <c r="R31" s="760"/>
      <c r="S31" s="760"/>
      <c r="T31" s="763"/>
      <c r="U31" s="760" t="str">
        <f>IF(Abfrage!$B$2&gt;0,Sprache!B60,IF(Abfrage!$B$3&gt;0,Sprache!C60,IF(Abfrage!$B$4&gt;0,Sprache!D60,IF(Abfrage!$B$5&gt;0,Sprache!E60,0))))</f>
        <v>Lage der Rückwand:</v>
      </c>
      <c r="V31" s="761"/>
      <c r="W31" s="761"/>
      <c r="X31" s="761"/>
      <c r="Y31" s="761"/>
      <c r="Z31" s="761"/>
      <c r="AA31" s="761"/>
      <c r="AB31" s="761"/>
      <c r="AC31" s="761"/>
      <c r="AD31" s="761"/>
      <c r="AE31" s="761"/>
      <c r="AF31" s="761"/>
      <c r="AG31" s="761"/>
      <c r="AH31" s="761"/>
      <c r="AI31" s="390"/>
      <c r="AJ31" s="758"/>
      <c r="AK31" s="8"/>
      <c r="AL31" s="8"/>
      <c r="AM31" s="8"/>
      <c r="AN31" s="8"/>
      <c r="AO31" s="8"/>
      <c r="AP31" s="8"/>
      <c r="AQ31" s="8"/>
    </row>
    <row r="32" spans="1:51" ht="16.5" customHeight="1">
      <c r="A32" s="10">
        <v>17</v>
      </c>
      <c r="B32" s="513"/>
      <c r="C32" s="512"/>
      <c r="D32" s="799" t="str">
        <f>IF(Abfrage!$B$2&gt;0,Sprache!B54,IF(Abfrage!$B$3&gt;0,Sprache!C54,IF(Abfrage!$B$4&gt;0,Sprache!D54,IF(Abfrage!$B$5&gt;0,Sprache!E54,0))))</f>
        <v>Aussentiefe (mm)</v>
      </c>
      <c r="E32" s="799"/>
      <c r="F32" s="799"/>
      <c r="G32" s="799"/>
      <c r="H32" s="800"/>
      <c r="I32" s="511"/>
      <c r="J32" s="403"/>
      <c r="K32" s="314"/>
      <c r="L32" s="314"/>
      <c r="M32" s="314"/>
      <c r="N32" s="745" t="str">
        <f>IF(Abfrage!$B$2&gt;0,Sprache!B55,IF(Abfrage!$B$3&gt;0,Sprache!C55,IF(Abfrage!$B$4&gt;0,Sprache!D55,IF(Abfrage!$B$5&gt;0,Sprache!E55,0))))</f>
        <v>Einbautiefe (mm)</v>
      </c>
      <c r="O32" s="745"/>
      <c r="P32" s="745"/>
      <c r="Q32" s="745"/>
      <c r="R32" s="745"/>
      <c r="S32" s="745"/>
      <c r="T32" s="746"/>
      <c r="U32" s="664" t="str">
        <f>IF(Abfrage!$B$2&gt;0,Sprache!B61,IF(Abfrage!$B$3&gt;0,Sprache!C61,IF(Abfrage!$B$4&gt;0,Sprache!D61,IF(Abfrage!$B$5&gt;0,Sprache!E61,0))))</f>
        <v>fest verschraubt</v>
      </c>
      <c r="V32" s="665"/>
      <c r="W32" s="665"/>
      <c r="X32" s="665"/>
      <c r="Y32" s="665"/>
      <c r="Z32" s="674" t="str">
        <f>IF(Abfrage!$B$2&gt;0,Sprache!B69,IF(Abfrage!$B$3&gt;0,Sprache!C69,IF(Abfrage!$B$4&gt;0,Sprache!D69,IF(Abfrage!$B$5&gt;0,Sprache!E69,0))))</f>
        <v>oder</v>
      </c>
      <c r="AA32" s="674"/>
      <c r="AB32" s="674"/>
      <c r="AC32" s="665" t="str">
        <f>IF(Abfrage!$B$2&gt;0,Sprache!B63,IF(Abfrage!$B$3&gt;0,Sprache!C63,IF(Abfrage!$B$4&gt;0,Sprache!D63,IF(Abfrage!$B$5&gt;0,Sprache!E63,0))))</f>
        <v>schwenkbar</v>
      </c>
      <c r="AD32" s="665"/>
      <c r="AE32" s="665"/>
      <c r="AF32" s="665"/>
      <c r="AG32" s="665"/>
      <c r="AH32" s="508"/>
      <c r="AI32" s="393"/>
      <c r="AJ32" s="758"/>
      <c r="AK32" s="8"/>
      <c r="AL32" s="8"/>
      <c r="AM32" s="8"/>
      <c r="AN32" s="8"/>
      <c r="AO32" s="8"/>
      <c r="AP32" s="8"/>
      <c r="AQ32" s="8"/>
      <c r="AR32" s="1"/>
      <c r="AS32" s="1"/>
      <c r="AT32" s="1"/>
      <c r="AU32" s="1"/>
      <c r="AV32" s="1"/>
      <c r="AW32" s="1"/>
      <c r="AX32" s="1"/>
      <c r="AY32" s="1"/>
    </row>
    <row r="33" spans="1:51" ht="16.5" customHeight="1">
      <c r="A33" s="10"/>
      <c r="B33" s="386"/>
      <c r="C33" s="347"/>
      <c r="D33" s="347"/>
      <c r="E33" s="646" t="s">
        <v>765</v>
      </c>
      <c r="F33" s="646"/>
      <c r="G33" s="646"/>
      <c r="H33" s="647"/>
      <c r="I33" s="399"/>
      <c r="J33" s="400"/>
      <c r="K33" s="678" t="str">
        <f>IF(Abfrage!$B$2&gt;0,Sprache!B56,IF(Abfrage!$B$3&gt;0,Sprache!C56,IF(Abfrage!$B$4&gt;0,Sprache!D56,IF(Abfrage!$B$5&gt;0,Sprache!E56,0))))</f>
        <v>innen</v>
      </c>
      <c r="L33" s="678"/>
      <c r="M33" s="678"/>
      <c r="N33" s="678"/>
      <c r="O33" s="401"/>
      <c r="P33" s="402"/>
      <c r="Q33" s="764" t="s">
        <v>773</v>
      </c>
      <c r="R33" s="764"/>
      <c r="S33" s="764"/>
      <c r="T33" s="765"/>
      <c r="U33" s="509"/>
      <c r="V33" s="509"/>
      <c r="W33" s="509"/>
      <c r="X33" s="509"/>
      <c r="Y33" s="2"/>
      <c r="Z33" s="2"/>
      <c r="AA33" s="2"/>
      <c r="AB33" s="1"/>
      <c r="AC33" s="487"/>
      <c r="AD33" s="670" t="str">
        <f>IF(Abfrage!$B$2&gt;0,Sprache!B64,IF(Abfrage!$B$3&gt;0,Sprache!C64,IF(Abfrage!$B$4&gt;0,Sprache!D64,IF(Abfrage!$B$5&gt;0,Sprache!E64,0))))</f>
        <v>mit Standard Scharnier</v>
      </c>
      <c r="AE33" s="670"/>
      <c r="AF33" s="670"/>
      <c r="AG33" s="670"/>
      <c r="AH33" s="670"/>
      <c r="AI33" s="671"/>
      <c r="AJ33" s="758"/>
      <c r="AK33" s="6" t="s">
        <v>695</v>
      </c>
      <c r="AL33" s="1"/>
      <c r="AM33" s="1"/>
      <c r="AN33" s="1"/>
      <c r="AO33" s="1"/>
      <c r="AP33" s="1"/>
      <c r="AQ33" s="1"/>
      <c r="AR33" s="118"/>
      <c r="AS33" s="118"/>
      <c r="AT33" s="118"/>
      <c r="AU33" s="1"/>
      <c r="AV33" s="1"/>
      <c r="AW33" s="1"/>
      <c r="AX33" s="1"/>
      <c r="AY33" s="1"/>
    </row>
    <row r="34" spans="1:51" ht="16.5" customHeight="1" thickBot="1">
      <c r="A34" s="10"/>
      <c r="B34" s="395"/>
      <c r="C34" s="396"/>
      <c r="D34" s="396"/>
      <c r="E34" s="739"/>
      <c r="F34" s="739"/>
      <c r="G34" s="739"/>
      <c r="H34" s="740"/>
      <c r="I34" s="395"/>
      <c r="J34" s="397"/>
      <c r="K34" s="741" t="str">
        <f>IF(Abfrage!$B$2&gt;0,Sprache!B57,IF(Abfrage!$B$3&gt;0,Sprache!C57,IF(Abfrage!$B$4&gt;0,Sprache!D57,IF(Abfrage!$B$5&gt;0,Sprache!E57,0))))</f>
        <v>außen</v>
      </c>
      <c r="L34" s="741"/>
      <c r="M34" s="741"/>
      <c r="N34" s="741"/>
      <c r="O34" s="398"/>
      <c r="P34" s="396"/>
      <c r="Q34" s="741" t="s">
        <v>774</v>
      </c>
      <c r="R34" s="741"/>
      <c r="S34" s="741"/>
      <c r="T34" s="742"/>
      <c r="U34" s="2"/>
      <c r="V34" s="2"/>
      <c r="W34" s="677" t="str">
        <f>IF(Abfrage!$B$2&gt;0,Sprache!B62,IF(Abfrage!$B$3&gt;0,Sprache!C62,IF(Abfrage!$B$4&gt;0,Sprache!D62,IF(Abfrage!$B$5&gt;0,Sprache!E62,0))))</f>
        <v>verschraubt</v>
      </c>
      <c r="X34" s="677"/>
      <c r="Y34" s="677"/>
      <c r="Z34" s="677"/>
      <c r="AA34" s="486"/>
      <c r="AB34" s="487"/>
      <c r="AC34" s="487"/>
      <c r="AD34" s="670"/>
      <c r="AE34" s="670"/>
      <c r="AF34" s="670"/>
      <c r="AG34" s="670"/>
      <c r="AH34" s="670"/>
      <c r="AI34" s="671"/>
      <c r="AJ34" s="758"/>
      <c r="AK34" s="7"/>
      <c r="AL34" s="1"/>
      <c r="AM34" s="1"/>
      <c r="AN34" s="18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6.5" customHeight="1">
      <c r="A35" s="10"/>
      <c r="B35" s="262"/>
      <c r="C35" s="2"/>
      <c r="D35" s="2"/>
      <c r="E35" s="646" t="s">
        <v>766</v>
      </c>
      <c r="F35" s="646"/>
      <c r="G35" s="646"/>
      <c r="H35" s="647"/>
      <c r="I35" s="399"/>
      <c r="J35" s="400"/>
      <c r="K35" s="678" t="str">
        <f>IF(Abfrage!$B$2&gt;0,Sprache!B58,IF(Abfrage!$B$3&gt;0,Sprache!C58,IF(Abfrage!$B$4&gt;0,Sprache!D58,IF(Abfrage!$B$5&gt;0,Sprache!E58,0))))</f>
        <v>innen</v>
      </c>
      <c r="L35" s="678"/>
      <c r="M35" s="678"/>
      <c r="N35" s="678"/>
      <c r="O35" s="401"/>
      <c r="P35" s="402"/>
      <c r="Q35" s="764" t="s">
        <v>775</v>
      </c>
      <c r="R35" s="764"/>
      <c r="S35" s="764"/>
      <c r="T35" s="765"/>
      <c r="U35" s="2"/>
      <c r="V35" s="2"/>
      <c r="W35" s="677"/>
      <c r="X35" s="677"/>
      <c r="Y35" s="677"/>
      <c r="Z35" s="677"/>
      <c r="AA35" s="486"/>
      <c r="AB35" s="1"/>
      <c r="AC35" s="1"/>
      <c r="AD35" s="670" t="str">
        <f>IF(Abfrage!$B$2&gt;0,Sprache!B65,IF(Abfrage!$B$3&gt;0,Sprache!C65,IF(Abfrage!$B$4&gt;0,Sprache!D65,IF(Abfrage!$B$5&gt;0,Sprache!E65,0))))</f>
        <v>mit verschraubtem Rückwandgelenk</v>
      </c>
      <c r="AE35" s="670"/>
      <c r="AF35" s="670"/>
      <c r="AG35" s="670"/>
      <c r="AH35" s="670"/>
      <c r="AI35" s="671"/>
      <c r="AJ35" s="758"/>
      <c r="AK35" s="7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6.5" customHeight="1">
      <c r="A36" s="10"/>
      <c r="B36" s="331"/>
      <c r="C36" s="342"/>
      <c r="D36" s="342"/>
      <c r="E36" s="648"/>
      <c r="F36" s="648"/>
      <c r="G36" s="648"/>
      <c r="H36" s="649"/>
      <c r="I36" s="331"/>
      <c r="J36" s="391"/>
      <c r="K36" s="766" t="str">
        <f>IF(Abfrage!$B$2&gt;0,Sprache!B59,IF(Abfrage!$B$3&gt;0,Sprache!C59,IF(Abfrage!$B$4&gt;0,Sprache!D59,IF(Abfrage!$B$5&gt;0,Sprache!E59,0))))</f>
        <v>außen</v>
      </c>
      <c r="L36" s="766"/>
      <c r="M36" s="766"/>
      <c r="N36" s="766"/>
      <c r="O36" s="312"/>
      <c r="P36" s="342"/>
      <c r="Q36" s="766" t="s">
        <v>776</v>
      </c>
      <c r="R36" s="766"/>
      <c r="S36" s="766"/>
      <c r="T36" s="804"/>
      <c r="U36" s="342"/>
      <c r="V36" s="342"/>
      <c r="W36" s="342"/>
      <c r="X36" s="342"/>
      <c r="Y36" s="342"/>
      <c r="Z36" s="342"/>
      <c r="AA36" s="404"/>
      <c r="AB36" s="488"/>
      <c r="AC36" s="488"/>
      <c r="AD36" s="672"/>
      <c r="AE36" s="672"/>
      <c r="AF36" s="672"/>
      <c r="AG36" s="672"/>
      <c r="AH36" s="672"/>
      <c r="AI36" s="673"/>
      <c r="AJ36" s="758"/>
      <c r="AK36" s="7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21" customHeight="1">
      <c r="A37" s="10"/>
      <c r="B37" s="507">
        <v>5</v>
      </c>
      <c r="C37" s="823" t="str">
        <f>IF(Abfrage!$B$2&gt;0,Sprache!B66,IF(Abfrage!$B$3&gt;0,Sprache!C66,IF(Abfrage!$B$4&gt;0,Sprache!D66,IF(Abfrage!$B$5&gt;0,Sprache!E66,0))))</f>
        <v>Gehäuse MIT Türprofil 55</v>
      </c>
      <c r="D37" s="824"/>
      <c r="E37" s="824"/>
      <c r="F37" s="824"/>
      <c r="G37" s="824"/>
      <c r="H37" s="824"/>
      <c r="I37" s="824"/>
      <c r="J37" s="824"/>
      <c r="K37" s="824"/>
      <c r="L37" s="824"/>
      <c r="M37" s="824"/>
      <c r="N37" s="824"/>
      <c r="O37" s="824"/>
      <c r="P37" s="411"/>
      <c r="Q37" s="411"/>
      <c r="R37" s="411"/>
      <c r="S37" s="411"/>
      <c r="T37" s="411"/>
      <c r="U37" s="408"/>
      <c r="V37" s="408"/>
      <c r="W37" s="411"/>
      <c r="X37" s="655" t="str">
        <f>IF(Abfrage!$B$2&gt;0,Sprache!B80,IF(Abfrage!$B$3&gt;0,Sprache!C80,IF(Abfrage!$B$4&gt;0,Sprache!D80,IF(Abfrage!$B$5&gt;0,Sprache!E80,0))))</f>
        <v>* FP  = Frontplatte</v>
      </c>
      <c r="Y37" s="655"/>
      <c r="Z37" s="655"/>
      <c r="AA37" s="655"/>
      <c r="AB37" s="655"/>
      <c r="AC37" s="655"/>
      <c r="AD37" s="767" t="str">
        <f>IF(Abfrage!$B$2&gt;0,Sprache!B81,IF(Abfrage!$B$3&gt;0,Sprache!C81,IF(Abfrage!$B$4&gt;0,Sprache!D81,IF(Abfrage!$B$5&gt;0,Sprache!E81,0))))</f>
        <v>RW = Rückwand</v>
      </c>
      <c r="AE37" s="767"/>
      <c r="AF37" s="767"/>
      <c r="AG37" s="767"/>
      <c r="AH37" s="767"/>
      <c r="AI37" s="768"/>
      <c r="AJ37" s="759"/>
      <c r="AK37" s="7"/>
      <c r="AL37" s="1"/>
      <c r="AM37" s="1"/>
      <c r="AN37" s="1"/>
      <c r="AO37" s="1"/>
      <c r="AP37" s="18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8.25" customHeight="1">
      <c r="A38" s="10"/>
      <c r="B38" s="407"/>
      <c r="C38" s="679"/>
      <c r="D38" s="679"/>
      <c r="E38" s="679"/>
      <c r="F38" s="679"/>
      <c r="G38" s="679"/>
      <c r="H38" s="679"/>
      <c r="I38" s="679"/>
      <c r="J38" s="679"/>
      <c r="K38" s="679"/>
      <c r="L38" s="679"/>
      <c r="M38" s="679"/>
      <c r="N38" s="679"/>
      <c r="O38" s="679"/>
      <c r="P38" s="679"/>
      <c r="Q38" s="679"/>
      <c r="R38" s="679"/>
      <c r="S38" s="679"/>
      <c r="T38" s="679"/>
      <c r="U38" s="679"/>
      <c r="V38" s="679"/>
      <c r="W38" s="679"/>
      <c r="X38" s="679"/>
      <c r="Y38" s="679"/>
      <c r="Z38" s="679"/>
      <c r="AA38" s="679"/>
      <c r="AB38" s="679"/>
      <c r="AC38" s="680"/>
      <c r="AD38" s="769"/>
      <c r="AE38" s="769"/>
      <c r="AF38" s="769"/>
      <c r="AG38" s="769"/>
      <c r="AH38" s="769"/>
      <c r="AI38" s="770"/>
      <c r="AJ38" s="759"/>
      <c r="AL38" s="755"/>
      <c r="AM38" s="756"/>
      <c r="AN38" s="756"/>
      <c r="AO38" s="756"/>
      <c r="AP38" s="756"/>
      <c r="AQ38" s="756"/>
      <c r="AR38" s="1"/>
      <c r="AS38" s="1"/>
      <c r="AT38" s="1"/>
      <c r="AU38" s="1"/>
      <c r="AV38" s="1"/>
      <c r="AW38" s="1"/>
      <c r="AX38" s="1"/>
      <c r="AY38" s="1"/>
    </row>
    <row r="39" spans="1:51" ht="14.25" customHeight="1">
      <c r="A39" s="10"/>
      <c r="B39" s="620" t="str">
        <f>IF(Abfrage!$B$2&gt;0,Sprache!B67,IF(Abfrage!$B$3&gt;0,Sprache!C67,IF(Abfrage!$B$4&gt;0,Sprache!D67,IF(Abfrage!$B$5&gt;0,Sprache!E67,0))))</f>
        <v>Tür</v>
      </c>
      <c r="C39" s="621"/>
      <c r="D39" s="621"/>
      <c r="E39" s="625" t="str">
        <f>IF(Abfrage!$B$2&gt;0,Sprache!B69,IF(Abfrage!$B$3&gt;0,Sprache!C69,IF(Abfrage!$B$4&gt;0,Sprache!D69,IF(Abfrage!$B$5&gt;0,Sprache!E69,0))))</f>
        <v>oder</v>
      </c>
      <c r="F39" s="626"/>
      <c r="G39" s="627"/>
      <c r="H39" s="621" t="str">
        <f>IF(Abfrage!$B$2&gt;0,Sprache!B70,IF(Abfrage!$B$3&gt;0,Sprache!C70,IF(Abfrage!$B$4&gt;0,Sprache!D70,IF(Abfrage!$B$5&gt;0,Sprache!E70,0))))</f>
        <v>Tür</v>
      </c>
      <c r="I39" s="621"/>
      <c r="J39" s="622"/>
      <c r="K39" s="681" t="str">
        <f>IF(Abfrage!$B$2&gt;0,Sprache!B73,IF(Abfrage!$B$3&gt;0,Sprache!C73,IF(Abfrage!$B$4&gt;0,Sprache!D73,IF(Abfrage!$B$5&gt;0,Sprache!E73,0))))</f>
        <v>* FP innen und RW innen</v>
      </c>
      <c r="L39" s="681"/>
      <c r="M39" s="681"/>
      <c r="N39" s="411"/>
      <c r="O39" s="411"/>
      <c r="P39" s="411"/>
      <c r="Q39" s="411"/>
      <c r="R39" s="412"/>
      <c r="S39" s="685" t="str">
        <f>IF(Abfrage!$B$2&gt;0,Sprache!B75,IF(Abfrage!$B$3&gt;0,Sprache!C75,IF(Abfrage!$B$4&gt;0,Sprache!D75,IF(Abfrage!$B$5&gt;0,Sprache!E75,0))))</f>
        <v>* FP innen und RW außen</v>
      </c>
      <c r="T39" s="681"/>
      <c r="U39" s="681"/>
      <c r="V39" s="408"/>
      <c r="W39" s="411"/>
      <c r="X39" s="411"/>
      <c r="Y39" s="681" t="str">
        <f>IF(Abfrage!$B$2&gt;0,Sprache!B77,IF(Abfrage!$B$3&gt;0,Sprache!C77,IF(Abfrage!$B$4&gt;0,Sprache!D77,IF(Abfrage!$B$5&gt;0,Sprache!E77,0))))</f>
        <v>* FP außen und RW innen</v>
      </c>
      <c r="Z39" s="681"/>
      <c r="AA39" s="682"/>
      <c r="AB39" s="685" t="str">
        <f>IF(Abfrage!$B$2&gt;0,Sprache!B79,IF(Abfrage!$B$3&gt;0,Sprache!C79,IF(Abfrage!$B$4&gt;0,Sprache!D79,IF(Abfrage!$B$5&gt;0,Sprache!E79,0))))</f>
        <v>* FP außen und RW außen</v>
      </c>
      <c r="AC39" s="681"/>
      <c r="AD39" s="681"/>
      <c r="AE39" s="411"/>
      <c r="AF39" s="411"/>
      <c r="AG39" s="411"/>
      <c r="AH39" s="411"/>
      <c r="AI39" s="412"/>
      <c r="AJ39" s="759"/>
      <c r="AL39" s="11"/>
      <c r="AM39" s="12"/>
      <c r="AN39" s="12"/>
      <c r="AO39" s="12"/>
      <c r="AP39" s="12"/>
      <c r="AQ39" s="12"/>
      <c r="AR39" s="1"/>
      <c r="AS39" s="1"/>
      <c r="AT39" s="1"/>
      <c r="AU39" s="1"/>
      <c r="AV39" s="1"/>
      <c r="AW39" s="1"/>
      <c r="AX39" s="1"/>
      <c r="AY39" s="1"/>
    </row>
    <row r="40" spans="1:51" ht="6.75" customHeight="1">
      <c r="A40" s="10"/>
      <c r="B40" s="636" t="str">
        <f>IF(Abfrage!$B$2&gt;0,Sprache!B68,IF(Abfrage!$B$3&gt;0,Sprache!C68,IF(Abfrage!$B$4&gt;0,Sprache!D68,IF(Abfrage!$B$5&gt;0,Sprache!E68,0))))</f>
        <v>vorne</v>
      </c>
      <c r="C40" s="637"/>
      <c r="D40" s="637"/>
      <c r="E40" s="617"/>
      <c r="F40" s="618"/>
      <c r="G40" s="619"/>
      <c r="H40" s="632" t="str">
        <f>IF(Abfrage!$B$2&gt;0,Sprache!B71,IF(Abfrage!$B$3&gt;0,Sprache!C71,IF(Abfrage!$B$4&gt;0,Sprache!D71,IF(Abfrage!$B$5&gt;0,Sprache!E71,0))))</f>
        <v>hinten</v>
      </c>
      <c r="I40" s="632"/>
      <c r="J40" s="633"/>
      <c r="K40" s="681"/>
      <c r="L40" s="681"/>
      <c r="M40" s="681"/>
      <c r="N40" s="411"/>
      <c r="O40" s="411"/>
      <c r="P40" s="411"/>
      <c r="Q40" s="411"/>
      <c r="R40" s="412"/>
      <c r="S40" s="685"/>
      <c r="T40" s="681"/>
      <c r="U40" s="681"/>
      <c r="V40" s="408"/>
      <c r="W40" s="411"/>
      <c r="X40" s="411"/>
      <c r="Y40" s="681"/>
      <c r="Z40" s="681"/>
      <c r="AA40" s="682"/>
      <c r="AB40" s="685"/>
      <c r="AC40" s="681"/>
      <c r="AD40" s="681"/>
      <c r="AE40" s="411"/>
      <c r="AF40" s="411"/>
      <c r="AG40" s="411"/>
      <c r="AH40" s="411"/>
      <c r="AI40" s="412"/>
      <c r="AJ40" s="759"/>
      <c r="AL40" s="11"/>
      <c r="AM40" s="12"/>
      <c r="AN40" s="12"/>
      <c r="AO40" s="12"/>
      <c r="AP40" s="12"/>
      <c r="AQ40" s="12"/>
      <c r="AR40" s="1"/>
      <c r="AS40" s="1"/>
      <c r="AT40" s="1"/>
      <c r="AU40" s="1"/>
      <c r="AV40" s="1"/>
      <c r="AW40" s="1"/>
      <c r="AX40" s="1"/>
      <c r="AY40" s="1"/>
    </row>
    <row r="41" spans="1:51" ht="15.75" customHeight="1">
      <c r="A41" s="10"/>
      <c r="B41" s="628"/>
      <c r="C41" s="629"/>
      <c r="D41" s="629"/>
      <c r="E41" s="414"/>
      <c r="F41" s="415"/>
      <c r="G41" s="416"/>
      <c r="H41" s="634"/>
      <c r="I41" s="634"/>
      <c r="J41" s="635"/>
      <c r="K41" s="683"/>
      <c r="L41" s="683"/>
      <c r="M41" s="683"/>
      <c r="N41" s="417"/>
      <c r="O41" s="417"/>
      <c r="P41" s="417"/>
      <c r="Q41" s="417"/>
      <c r="R41" s="418"/>
      <c r="S41" s="654"/>
      <c r="T41" s="683"/>
      <c r="U41" s="683"/>
      <c r="V41" s="413"/>
      <c r="W41" s="417"/>
      <c r="X41" s="417"/>
      <c r="Y41" s="683"/>
      <c r="Z41" s="683"/>
      <c r="AA41" s="684"/>
      <c r="AB41" s="654"/>
      <c r="AC41" s="683"/>
      <c r="AD41" s="683"/>
      <c r="AE41" s="417"/>
      <c r="AF41" s="417"/>
      <c r="AG41" s="417"/>
      <c r="AH41" s="417"/>
      <c r="AI41" s="418"/>
      <c r="AJ41" s="759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9" customHeight="1">
      <c r="A42" s="10"/>
      <c r="B42" s="419"/>
      <c r="C42" s="411"/>
      <c r="D42" s="411"/>
      <c r="E42" s="420"/>
      <c r="F42" s="645" t="str">
        <f>IF(Abfrage!$B$2&gt;0,Sprache!B72,IF(Abfrage!$B$3&gt;0,Sprache!C72,IF(Abfrage!$B$4&gt;0,Sprache!D72,IF(Abfrage!$B$5&gt;0,Sprache!E72,0))))</f>
        <v>Aussengelenke</v>
      </c>
      <c r="G42" s="420"/>
      <c r="H42" s="421"/>
      <c r="I42" s="411"/>
      <c r="J42" s="422"/>
      <c r="K42" s="411"/>
      <c r="L42" s="411"/>
      <c r="M42" s="411"/>
      <c r="N42" s="659" t="str">
        <f>IF(Abfrage!$B$2&gt;0,Sprache!B74,IF(Abfrage!$B$3&gt;0,Sprache!C74,IF(Abfrage!$B$4&gt;0,Sprache!D74,IF(Abfrage!$B$5&gt;0,Sprache!E74,0))))</f>
        <v>Einbautiefe (mm)</v>
      </c>
      <c r="O42" s="652"/>
      <c r="P42" s="652"/>
      <c r="Q42" s="653"/>
      <c r="R42" s="412"/>
      <c r="S42" s="411"/>
      <c r="T42" s="411"/>
      <c r="U42" s="659" t="str">
        <f>IF(Abfrage!$B$2&gt;0,Sprache!B74,IF(Abfrage!$B$3&gt;0,Sprache!C74,IF(Abfrage!$B$4&gt;0,Sprache!D74,IF(Abfrage!$B$5&gt;0,Sprache!E74,0))))</f>
        <v>Einbautiefe (mm)</v>
      </c>
      <c r="V42" s="652"/>
      <c r="W42" s="652"/>
      <c r="X42" s="652"/>
      <c r="Y42" s="653"/>
      <c r="Z42" s="411"/>
      <c r="AA42" s="412"/>
      <c r="AB42" s="411"/>
      <c r="AC42" s="411"/>
      <c r="AD42" s="411"/>
      <c r="AE42" s="659" t="str">
        <f>IF(Abfrage!$B$2&gt;0,Sprache!B74,IF(Abfrage!$B$3&gt;0,Sprache!C74,IF(Abfrage!$B$4&gt;0,Sprache!D74,IF(Abfrage!$B$5&gt;0,Sprache!E74,0))))</f>
        <v>Einbautiefe (mm)</v>
      </c>
      <c r="AF42" s="652"/>
      <c r="AG42" s="652"/>
      <c r="AH42" s="653"/>
      <c r="AI42" s="412"/>
      <c r="AJ42" s="759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38" ht="13.5" customHeight="1">
      <c r="A43" s="10"/>
      <c r="B43" s="423" t="s">
        <v>130</v>
      </c>
      <c r="C43" s="411"/>
      <c r="D43" s="411"/>
      <c r="E43" s="425"/>
      <c r="F43" s="645"/>
      <c r="G43" s="426"/>
      <c r="H43" s="421"/>
      <c r="I43" s="411"/>
      <c r="J43" s="427" t="s">
        <v>131</v>
      </c>
      <c r="K43" s="411"/>
      <c r="L43" s="411"/>
      <c r="M43" s="411"/>
      <c r="N43" s="411"/>
      <c r="O43" s="771">
        <v>149</v>
      </c>
      <c r="P43" s="771"/>
      <c r="Q43" s="411"/>
      <c r="R43" s="412"/>
      <c r="S43" s="411"/>
      <c r="T43" s="411"/>
      <c r="U43" s="408"/>
      <c r="V43" s="771">
        <v>157</v>
      </c>
      <c r="W43" s="771"/>
      <c r="X43" s="771"/>
      <c r="Y43" s="411"/>
      <c r="Z43" s="411"/>
      <c r="AA43" s="412"/>
      <c r="AB43" s="411"/>
      <c r="AC43" s="411"/>
      <c r="AD43" s="411"/>
      <c r="AE43" s="411"/>
      <c r="AF43" s="771">
        <v>166</v>
      </c>
      <c r="AG43" s="771"/>
      <c r="AH43" s="411"/>
      <c r="AI43" s="412"/>
      <c r="AJ43" s="759"/>
      <c r="AL43" s="9"/>
    </row>
    <row r="44" spans="1:38" ht="9" customHeight="1">
      <c r="A44" s="10"/>
      <c r="B44" s="428"/>
      <c r="C44" s="429"/>
      <c r="D44" s="430"/>
      <c r="E44" s="414"/>
      <c r="F44" s="645"/>
      <c r="G44" s="431"/>
      <c r="H44" s="417"/>
      <c r="I44" s="417"/>
      <c r="J44" s="432"/>
      <c r="K44" s="417"/>
      <c r="L44" s="417"/>
      <c r="M44" s="417"/>
      <c r="N44" s="417"/>
      <c r="O44" s="772"/>
      <c r="P44" s="772"/>
      <c r="Q44" s="417"/>
      <c r="R44" s="418"/>
      <c r="S44" s="417"/>
      <c r="T44" s="417"/>
      <c r="U44" s="417"/>
      <c r="V44" s="772"/>
      <c r="W44" s="772"/>
      <c r="X44" s="772"/>
      <c r="Y44" s="417"/>
      <c r="Z44" s="417"/>
      <c r="AA44" s="418"/>
      <c r="AB44" s="417"/>
      <c r="AC44" s="417"/>
      <c r="AD44" s="417"/>
      <c r="AE44" s="417"/>
      <c r="AF44" s="772"/>
      <c r="AG44" s="772"/>
      <c r="AH44" s="417"/>
      <c r="AI44" s="418"/>
      <c r="AJ44" s="759"/>
      <c r="AL44" s="5"/>
    </row>
    <row r="45" spans="1:37" ht="12" customHeight="1">
      <c r="A45" s="10"/>
      <c r="B45" s="419"/>
      <c r="C45" s="426"/>
      <c r="D45" s="426"/>
      <c r="E45" s="426"/>
      <c r="F45" s="645"/>
      <c r="G45" s="420"/>
      <c r="H45" s="410"/>
      <c r="I45" s="410"/>
      <c r="J45" s="422"/>
      <c r="K45" s="411"/>
      <c r="L45" s="411"/>
      <c r="M45" s="411"/>
      <c r="N45" s="411"/>
      <c r="O45" s="771">
        <v>229</v>
      </c>
      <c r="P45" s="771"/>
      <c r="Q45" s="411"/>
      <c r="R45" s="412"/>
      <c r="S45" s="411"/>
      <c r="T45" s="411"/>
      <c r="U45" s="411"/>
      <c r="V45" s="771">
        <v>237</v>
      </c>
      <c r="W45" s="771"/>
      <c r="X45" s="771"/>
      <c r="Y45" s="411"/>
      <c r="Z45" s="411"/>
      <c r="AA45" s="412"/>
      <c r="AB45" s="411"/>
      <c r="AC45" s="411"/>
      <c r="AD45" s="411"/>
      <c r="AE45" s="411"/>
      <c r="AF45" s="771">
        <v>246</v>
      </c>
      <c r="AG45" s="771"/>
      <c r="AH45" s="411"/>
      <c r="AI45" s="412"/>
      <c r="AJ45" s="759"/>
      <c r="AK45" s="4" t="b">
        <v>0</v>
      </c>
    </row>
    <row r="46" spans="1:35" ht="14.25" customHeight="1">
      <c r="A46" s="10"/>
      <c r="B46" s="643" t="s">
        <v>129</v>
      </c>
      <c r="C46" s="644"/>
      <c r="D46" s="644"/>
      <c r="E46" s="430"/>
      <c r="F46" s="631"/>
      <c r="G46" s="430"/>
      <c r="H46" s="630" t="s">
        <v>132</v>
      </c>
      <c r="I46" s="630"/>
      <c r="J46" s="624"/>
      <c r="K46" s="417"/>
      <c r="L46" s="417"/>
      <c r="M46" s="417"/>
      <c r="N46" s="417"/>
      <c r="O46" s="772"/>
      <c r="P46" s="772"/>
      <c r="Q46" s="417"/>
      <c r="R46" s="418"/>
      <c r="S46" s="417"/>
      <c r="T46" s="417"/>
      <c r="U46" s="417"/>
      <c r="V46" s="772"/>
      <c r="W46" s="772"/>
      <c r="X46" s="772"/>
      <c r="Y46" s="417"/>
      <c r="Z46" s="417"/>
      <c r="AA46" s="418"/>
      <c r="AB46" s="417"/>
      <c r="AC46" s="417"/>
      <c r="AD46" s="417"/>
      <c r="AE46" s="417"/>
      <c r="AF46" s="772"/>
      <c r="AG46" s="772"/>
      <c r="AH46" s="417"/>
      <c r="AI46" s="418"/>
    </row>
    <row r="47" spans="1:35" ht="19.5" customHeight="1">
      <c r="A47" s="10"/>
      <c r="B47" s="332">
        <v>6</v>
      </c>
      <c r="C47" s="385" t="str">
        <f>IF(Abfrage!$B$2&gt;0,Sprache!B82,IF(Abfrage!$B$3&gt;0,Sprache!C82,IF(Abfrage!$B$4&gt;0,Sprache!D82,IF(Abfrage!$B$5&gt;0,Sprache!E82,0))))</f>
        <v>Türanschlag vorne</v>
      </c>
      <c r="D47" s="385"/>
      <c r="E47" s="385"/>
      <c r="F47" s="385"/>
      <c r="G47" s="385"/>
      <c r="H47" s="385"/>
      <c r="I47" s="385"/>
      <c r="J47" s="385"/>
      <c r="K47" s="385"/>
      <c r="L47" s="385"/>
      <c r="M47" s="433"/>
      <c r="N47" s="433"/>
      <c r="O47" s="353"/>
      <c r="P47" s="353"/>
      <c r="Q47" s="433"/>
      <c r="R47" s="433"/>
      <c r="S47" s="433"/>
      <c r="T47" s="433"/>
      <c r="U47" s="433"/>
      <c r="V47" s="353"/>
      <c r="W47" s="353"/>
      <c r="X47" s="353"/>
      <c r="Y47" s="433"/>
      <c r="Z47" s="434"/>
      <c r="AA47" s="434"/>
      <c r="AB47" s="434"/>
      <c r="AC47" s="434"/>
      <c r="AD47" s="434"/>
      <c r="AE47" s="434"/>
      <c r="AF47" s="434"/>
      <c r="AG47" s="434"/>
      <c r="AH47" s="434"/>
      <c r="AI47" s="337"/>
    </row>
    <row r="48" spans="1:35" ht="19.5" customHeight="1">
      <c r="A48" s="10"/>
      <c r="B48" s="435"/>
      <c r="C48" s="338"/>
      <c r="D48" s="338"/>
      <c r="E48" s="349"/>
      <c r="F48" s="349"/>
      <c r="G48" s="349"/>
      <c r="H48" s="338"/>
      <c r="I48" s="338"/>
      <c r="J48" s="436"/>
      <c r="K48" s="338"/>
      <c r="L48" s="338"/>
      <c r="M48" s="364"/>
      <c r="N48" s="437"/>
      <c r="O48" s="379"/>
      <c r="P48" s="379"/>
      <c r="Q48" s="364"/>
      <c r="R48" s="364"/>
      <c r="S48" s="364"/>
      <c r="T48" s="437"/>
      <c r="U48" s="364"/>
      <c r="V48" s="379"/>
      <c r="W48" s="349"/>
      <c r="X48" s="349"/>
      <c r="Y48" s="338"/>
      <c r="Z48" s="338"/>
      <c r="AA48" s="338"/>
      <c r="AB48" s="438"/>
      <c r="AC48" s="338"/>
      <c r="AD48" s="438"/>
      <c r="AE48" s="438"/>
      <c r="AF48" s="438"/>
      <c r="AG48" s="349"/>
      <c r="AH48" s="338"/>
      <c r="AI48" s="439"/>
    </row>
    <row r="49" spans="1:35" ht="19.5" customHeight="1">
      <c r="A49" s="10"/>
      <c r="B49" s="435"/>
      <c r="C49" s="440"/>
      <c r="D49" s="440"/>
      <c r="E49" s="440"/>
      <c r="F49" s="640" t="str">
        <f>IF(Abfrage!$B$2&gt;0,Sprache!B83,IF(Abfrage!$B$3&gt;0,Sprache!C83,IF(Abfrage!$B$4&gt;0,Sprache!D83,IF(Abfrage!$B$5&gt;0,Sprache!E83,0))))</f>
        <v>Links</v>
      </c>
      <c r="G49" s="640"/>
      <c r="H49" s="640"/>
      <c r="I49" s="640"/>
      <c r="J49" s="436"/>
      <c r="K49" s="338"/>
      <c r="L49" s="338"/>
      <c r="M49" s="364"/>
      <c r="N49" s="364"/>
      <c r="O49" s="379"/>
      <c r="P49" s="379"/>
      <c r="Q49" s="364"/>
      <c r="R49" s="364"/>
      <c r="S49" s="364"/>
      <c r="T49" s="364"/>
      <c r="U49" s="364"/>
      <c r="V49" s="379"/>
      <c r="W49" s="349"/>
      <c r="X49" s="349"/>
      <c r="Y49" s="338"/>
      <c r="Z49" s="338"/>
      <c r="AA49" s="338"/>
      <c r="AB49" s="338"/>
      <c r="AC49" s="338"/>
      <c r="AD49" s="821" t="str">
        <f>IF(Abfrage!$B$2&gt;0,Sprache!B84,IF(Abfrage!$B$3&gt;0,Sprache!C84,IF(Abfrage!$B$4&gt;0,Sprache!D84,IF(Abfrage!$B$5&gt;0,Sprache!E84,0))))</f>
        <v>Rechts</v>
      </c>
      <c r="AE49" s="821"/>
      <c r="AF49" s="821"/>
      <c r="AG49" s="821"/>
      <c r="AH49" s="338"/>
      <c r="AI49" s="439"/>
    </row>
    <row r="50" spans="1:35" ht="19.5" customHeight="1">
      <c r="A50" s="10"/>
      <c r="B50" s="435"/>
      <c r="C50" s="338"/>
      <c r="D50" s="338"/>
      <c r="E50" s="349"/>
      <c r="F50" s="349"/>
      <c r="G50" s="349"/>
      <c r="H50" s="338"/>
      <c r="I50" s="338"/>
      <c r="J50" s="436"/>
      <c r="K50" s="338"/>
      <c r="L50" s="338"/>
      <c r="M50" s="364"/>
      <c r="N50" s="364"/>
      <c r="O50" s="379"/>
      <c r="P50" s="379"/>
      <c r="Q50" s="364"/>
      <c r="R50" s="364"/>
      <c r="S50" s="364"/>
      <c r="T50" s="364"/>
      <c r="U50" s="364"/>
      <c r="V50" s="379"/>
      <c r="W50" s="349"/>
      <c r="X50" s="349"/>
      <c r="Y50" s="338"/>
      <c r="Z50" s="338"/>
      <c r="AA50" s="338"/>
      <c r="AB50" s="441"/>
      <c r="AC50" s="338"/>
      <c r="AD50" s="441"/>
      <c r="AE50" s="441"/>
      <c r="AF50" s="441"/>
      <c r="AG50" s="349"/>
      <c r="AH50" s="338"/>
      <c r="AI50" s="439"/>
    </row>
    <row r="51" spans="1:35" ht="19.5" customHeight="1">
      <c r="A51" s="10"/>
      <c r="B51" s="435"/>
      <c r="C51" s="385" t="str">
        <f>IF(Abfrage!$B$2&gt;0,Sprache!B85,IF(Abfrage!$B$3&gt;0,Sprache!C85,IF(Abfrage!$B$4&gt;0,Sprache!D85,IF(Abfrage!$B$5&gt;0,Sprache!E85,0))))</f>
        <v>Türanschlag hinten</v>
      </c>
      <c r="D51" s="385"/>
      <c r="E51" s="385"/>
      <c r="F51" s="385"/>
      <c r="G51" s="385"/>
      <c r="H51" s="385"/>
      <c r="I51" s="385"/>
      <c r="J51" s="385"/>
      <c r="K51" s="385"/>
      <c r="L51" s="442"/>
      <c r="M51" s="443"/>
      <c r="N51" s="443"/>
      <c r="O51" s="444"/>
      <c r="P51" s="444"/>
      <c r="Q51" s="443"/>
      <c r="R51" s="443"/>
      <c r="S51" s="443"/>
      <c r="T51" s="443"/>
      <c r="U51" s="443"/>
      <c r="V51" s="444"/>
      <c r="W51" s="353"/>
      <c r="X51" s="353"/>
      <c r="Y51" s="433"/>
      <c r="Z51" s="353"/>
      <c r="AA51" s="353"/>
      <c r="AB51" s="353"/>
      <c r="AC51" s="353"/>
      <c r="AD51" s="353"/>
      <c r="AE51" s="353"/>
      <c r="AF51" s="353"/>
      <c r="AG51" s="353"/>
      <c r="AH51" s="353"/>
      <c r="AI51" s="439"/>
    </row>
    <row r="52" spans="1:35" ht="15.75" customHeight="1">
      <c r="A52" s="10"/>
      <c r="B52" s="435"/>
      <c r="C52" s="338"/>
      <c r="D52" s="338"/>
      <c r="E52" s="349"/>
      <c r="F52" s="349"/>
      <c r="G52" s="349"/>
      <c r="H52" s="338"/>
      <c r="I52" s="338"/>
      <c r="J52" s="436"/>
      <c r="K52" s="338"/>
      <c r="L52" s="338"/>
      <c r="M52" s="364"/>
      <c r="N52" s="437"/>
      <c r="O52" s="379"/>
      <c r="P52" s="379"/>
      <c r="Q52" s="364"/>
      <c r="R52" s="364"/>
      <c r="S52" s="364"/>
      <c r="T52" s="437"/>
      <c r="U52" s="364"/>
      <c r="V52" s="379"/>
      <c r="W52" s="349"/>
      <c r="X52" s="349"/>
      <c r="Y52" s="338"/>
      <c r="Z52" s="338"/>
      <c r="AA52" s="338"/>
      <c r="AB52" s="438"/>
      <c r="AC52" s="338"/>
      <c r="AD52" s="438"/>
      <c r="AE52" s="438"/>
      <c r="AF52" s="438"/>
      <c r="AG52" s="349"/>
      <c r="AH52" s="338"/>
      <c r="AI52" s="439"/>
    </row>
    <row r="53" spans="1:50" ht="19.5" customHeight="1">
      <c r="A53" s="10"/>
      <c r="B53" s="435"/>
      <c r="C53" s="440"/>
      <c r="D53" s="440"/>
      <c r="E53" s="440"/>
      <c r="F53" s="440"/>
      <c r="G53" s="349"/>
      <c r="H53" s="338"/>
      <c r="I53" s="338"/>
      <c r="J53" s="436"/>
      <c r="K53" s="338"/>
      <c r="L53" s="338"/>
      <c r="M53" s="364"/>
      <c r="N53" s="364"/>
      <c r="O53" s="379"/>
      <c r="P53" s="379"/>
      <c r="Q53" s="364"/>
      <c r="R53" s="364"/>
      <c r="S53" s="364"/>
      <c r="T53" s="364"/>
      <c r="U53" s="364"/>
      <c r="V53" s="379"/>
      <c r="W53" s="349"/>
      <c r="X53" s="349"/>
      <c r="Y53" s="338"/>
      <c r="Z53" s="338"/>
      <c r="AA53" s="338"/>
      <c r="AB53" s="338"/>
      <c r="AC53" s="338"/>
      <c r="AD53" s="338"/>
      <c r="AE53" s="338"/>
      <c r="AF53" s="338"/>
      <c r="AG53" s="349"/>
      <c r="AH53" s="338"/>
      <c r="AI53" s="439"/>
      <c r="AN53" s="13"/>
      <c r="AO53" s="13"/>
      <c r="AP53" s="13"/>
      <c r="AQ53" s="13"/>
      <c r="AR53" s="13"/>
      <c r="AS53" s="13"/>
      <c r="AT53" s="13"/>
      <c r="AU53" s="13"/>
      <c r="AV53" s="13"/>
      <c r="AW53" s="1"/>
      <c r="AX53" s="1"/>
    </row>
    <row r="54" spans="1:35" ht="19.5" customHeight="1">
      <c r="A54" s="445"/>
      <c r="B54" s="446"/>
      <c r="C54" s="341"/>
      <c r="D54" s="341"/>
      <c r="E54" s="351"/>
      <c r="F54" s="651" t="str">
        <f>IF(Abfrage!$B$2&gt;0,Sprache!B83,IF(Abfrage!$B$3&gt;0,Sprache!C83,IF(Abfrage!$B$4&gt;0,Sprache!D83,IF(Abfrage!$B$5&gt;0,Sprache!E83,0))))</f>
        <v>Links</v>
      </c>
      <c r="G54" s="651"/>
      <c r="H54" s="651"/>
      <c r="I54" s="651"/>
      <c r="J54" s="448"/>
      <c r="K54" s="341"/>
      <c r="L54" s="341"/>
      <c r="M54" s="658" t="str">
        <f>IF(Abfrage!$B$2&gt;0,Sprache!B87,IF(Abfrage!$B$3&gt;0,Sprache!C87,IF(Abfrage!$B$4&gt;0,Sprache!D87,IF(Abfrage!$B$5&gt;0,Sprache!E87,0))))</f>
        <v>oder</v>
      </c>
      <c r="N54" s="658"/>
      <c r="O54" s="351"/>
      <c r="P54" s="351"/>
      <c r="Q54" s="341"/>
      <c r="R54" s="341"/>
      <c r="S54" s="341"/>
      <c r="T54" s="341"/>
      <c r="U54" s="341"/>
      <c r="V54" s="351"/>
      <c r="W54" s="351"/>
      <c r="X54" s="351"/>
      <c r="Y54" s="658" t="str">
        <f>IF(Abfrage!$B$2&gt;0,Sprache!B87,IF(Abfrage!$B$3&gt;0,Sprache!C87,IF(Abfrage!$B$4&gt;0,Sprache!D87,IF(Abfrage!$B$5&gt;0,Sprache!E87,0))))</f>
        <v>oder</v>
      </c>
      <c r="Z54" s="658"/>
      <c r="AA54" s="658"/>
      <c r="AB54" s="447"/>
      <c r="AC54" s="341"/>
      <c r="AD54" s="810" t="str">
        <f>IF(Abfrage!$B$2&gt;0,Sprache!B84,IF(Abfrage!$B$3&gt;0,Sprache!C84,IF(Abfrage!$B$4&gt;0,Sprache!D84,IF(Abfrage!$B$5&gt;0,Sprache!E84,0))))</f>
        <v>Rechts</v>
      </c>
      <c r="AE54" s="810"/>
      <c r="AF54" s="810"/>
      <c r="AG54" s="810"/>
      <c r="AH54" s="341"/>
      <c r="AI54" s="343"/>
    </row>
    <row r="55" spans="1:35" ht="19.5" customHeight="1">
      <c r="A55" s="10"/>
      <c r="B55" s="449">
        <v>7</v>
      </c>
      <c r="C55" s="450" t="str">
        <f>IF(Abfrage!$B$2&gt;0,Sprache!B92,IF(Abfrage!$B$3&gt;0,Sprache!C92,IF(Abfrage!$B$4&gt;0,Sprache!D92,IF(Abfrage!$B$5&gt;0,Sprache!E92,0))))</f>
        <v>Verschluss</v>
      </c>
      <c r="D55" s="388"/>
      <c r="E55" s="388"/>
      <c r="F55" s="388"/>
      <c r="G55" s="348"/>
      <c r="H55" s="451"/>
      <c r="I55" s="451"/>
      <c r="J55" s="451"/>
      <c r="K55" s="440" t="str">
        <f>IF(Abfrage!$B$2&gt;0,Sprache!B93,IF(Abfrage!$B$3&gt;0,Sprache!C93,IF(Abfrage!$B$4&gt;0,Sprache!D93,IF(Abfrage!$B$5&gt;0,Sprache!E93,0))))</f>
        <v>Vierkant (mm):</v>
      </c>
      <c r="L55" s="2"/>
      <c r="M55" s="349">
        <v>6</v>
      </c>
      <c r="N55" s="349"/>
      <c r="O55" s="349"/>
      <c r="P55" s="349">
        <v>7</v>
      </c>
      <c r="Q55" s="349"/>
      <c r="R55" s="349"/>
      <c r="S55" s="424">
        <v>8</v>
      </c>
      <c r="T55" s="347" t="str">
        <f>IF(Abfrage!$B$2&gt;0,Sprache!B98,IF(Abfrage!$B$3&gt;0,Sprache!C98,IF(Abfrage!$B$4&gt;0,Sprache!D98,IF(Abfrage!$B$5&gt;0,Sprache!E98,0))))</f>
        <v>(Standard)</v>
      </c>
      <c r="U55" s="347"/>
      <c r="V55" s="347"/>
      <c r="W55" s="347"/>
      <c r="X55" s="314"/>
      <c r="Y55" s="2"/>
      <c r="Z55" s="686" t="str">
        <f>IF(Abfrage!$B$2&gt;0,Sprache!B99,IF(Abfrage!$B$3&gt;0,Sprache!C99,IF(Abfrage!$B$4&gt;0,Sprache!D99,IF(Abfrage!$B$5&gt;0,Sprache!E99,0))))</f>
        <v>Knebel ohne Schloss</v>
      </c>
      <c r="AA55" s="686"/>
      <c r="AB55" s="686"/>
      <c r="AC55" s="686"/>
      <c r="AD55" s="686"/>
      <c r="AE55" s="686"/>
      <c r="AF55" s="686"/>
      <c r="AG55" s="686"/>
      <c r="AH55" s="686"/>
      <c r="AI55" s="817"/>
    </row>
    <row r="56" spans="1:35" ht="19.5" customHeight="1">
      <c r="A56" s="10"/>
      <c r="B56" s="262"/>
      <c r="C56" s="2"/>
      <c r="D56" s="2"/>
      <c r="E56" s="2"/>
      <c r="F56" s="2"/>
      <c r="G56" s="638" t="str">
        <f>IF(Abfrage!$B$2&gt;0,Sprache!B94,IF(Abfrage!$B$3&gt;0,Sprache!C94,IF(Abfrage!$B$4&gt;0,Sprache!D94,IF(Abfrage!$B$5&gt;0,Sprache!E94,0))))</f>
        <v>Dreikant (mm):</v>
      </c>
      <c r="H56" s="639"/>
      <c r="I56" s="639"/>
      <c r="J56" s="639"/>
      <c r="K56" s="639"/>
      <c r="L56" s="2"/>
      <c r="M56" s="349">
        <v>7</v>
      </c>
      <c r="N56" s="349"/>
      <c r="O56" s="349"/>
      <c r="P56" s="349">
        <v>8</v>
      </c>
      <c r="Q56" s="349"/>
      <c r="R56" s="349"/>
      <c r="S56" s="452" t="s">
        <v>789</v>
      </c>
      <c r="T56" s="348"/>
      <c r="U56" s="2"/>
      <c r="V56" s="2"/>
      <c r="W56" s="2"/>
      <c r="X56" s="2"/>
      <c r="Y56" s="2"/>
      <c r="Z56" s="686" t="str">
        <f>IF(Abfrage!$B$2&gt;0,Sprache!B100,IF(Abfrage!$B$3&gt;0,Sprache!C100,IF(Abfrage!$B$4&gt;0,Sprache!D100,IF(Abfrage!$B$5&gt;0,Sprache!E100,0))))</f>
        <v>Knebel mit Schloss</v>
      </c>
      <c r="AA56" s="686"/>
      <c r="AB56" s="686"/>
      <c r="AC56" s="686"/>
      <c r="AD56" s="686"/>
      <c r="AE56" s="686"/>
      <c r="AF56" s="686"/>
      <c r="AG56" s="686"/>
      <c r="AH56" s="686"/>
      <c r="AI56" s="817"/>
    </row>
    <row r="57" spans="1:35" ht="16.5" customHeight="1">
      <c r="A57" s="10"/>
      <c r="B57" s="262"/>
      <c r="C57" s="2"/>
      <c r="D57" s="638" t="str">
        <f>IF(Abfrage!$B$2&gt;0,Sprache!B95,IF(Abfrage!$B$3&gt;0,Sprache!C95,IF(Abfrage!$B$4&gt;0,Sprache!D95,IF(Abfrage!$B$5&gt;0,Sprache!E95,0))))</f>
        <v>Doppelbart (mm):</v>
      </c>
      <c r="E57" s="642"/>
      <c r="F57" s="642"/>
      <c r="G57" s="642"/>
      <c r="H57" s="642"/>
      <c r="I57" s="642"/>
      <c r="J57" s="642"/>
      <c r="K57" s="642"/>
      <c r="L57" s="2"/>
      <c r="M57" s="349">
        <v>3</v>
      </c>
      <c r="N57" s="349"/>
      <c r="O57" s="349"/>
      <c r="P57" s="349">
        <v>5</v>
      </c>
      <c r="Q57" s="349"/>
      <c r="R57" s="349"/>
      <c r="S57" s="349"/>
      <c r="T57" s="2"/>
      <c r="U57" s="2"/>
      <c r="V57" s="2"/>
      <c r="W57" s="2"/>
      <c r="X57" s="2"/>
      <c r="Y57" s="2"/>
      <c r="Z57" s="2" t="s">
        <v>696</v>
      </c>
      <c r="AA57" s="453" t="str">
        <f>IF(Abfrage!$B$2&gt;0,Sprache!B101,IF(Abfrage!$B$3&gt;0,Sprache!C101,IF(Abfrage!$B$4&gt;0,Sprache!D101,IF(Abfrage!$B$5&gt;0,Sprache!E101,0))))</f>
        <v>   (ohne Schlüssel)</v>
      </c>
      <c r="AB57" s="2"/>
      <c r="AC57" s="2"/>
      <c r="AD57" s="2"/>
      <c r="AE57" s="2"/>
      <c r="AF57" s="2"/>
      <c r="AG57" s="2"/>
      <c r="AH57" s="2"/>
      <c r="AI57" s="315"/>
    </row>
    <row r="58" spans="1:72" ht="16.5" customHeight="1">
      <c r="A58" s="10"/>
      <c r="B58" s="262"/>
      <c r="C58" s="2"/>
      <c r="D58" s="2"/>
      <c r="E58" s="451"/>
      <c r="F58" s="657" t="str">
        <f>IF(Abfrage!$B$2&gt;0,Sprache!B96,IF(Abfrage!$B$3&gt;0,Sprache!C96,IF(Abfrage!$B$4&gt;0,Sprache!D96,IF(Abfrage!$B$5&gt;0,Sprache!E96,0))))</f>
        <v>Daimler Benz:</v>
      </c>
      <c r="G58" s="657"/>
      <c r="H58" s="657"/>
      <c r="I58" s="657"/>
      <c r="J58" s="657"/>
      <c r="K58" s="657"/>
      <c r="L58" s="2"/>
      <c r="M58" s="2"/>
      <c r="N58" s="2"/>
      <c r="O58" s="2"/>
      <c r="P58" s="454" t="str">
        <f>IF(Abfrage!$B$2&gt;0,Sprache!B97,IF(Abfrage!$B$3&gt;0,Sprache!C97,IF(Abfrage!$B$4&gt;0,Sprache!D97,IF(Abfrage!$B$5&gt;0,Sprache!E97,0))))</f>
        <v>Sonderverschluss/Kundenwunsch</v>
      </c>
      <c r="Q58" s="2"/>
      <c r="R58" s="2"/>
      <c r="S58" s="2"/>
      <c r="T58" s="2"/>
      <c r="U58" s="2"/>
      <c r="V58" s="2"/>
      <c r="W58" s="2"/>
      <c r="X58" s="2"/>
      <c r="Y58" s="2"/>
      <c r="Z58" s="2" t="str">
        <f>IF(Abfrage!$B$2&gt;0,Sprache!B102,IF(Abfrage!$B$3&gt;0,Sprache!C102,IF(Abfrage!$B$4&gt;0,Sprache!D102,IF(Abfrage!$B$5&gt;0,Sprache!E102,0))))</f>
        <v>Knebel E1</v>
      </c>
      <c r="AA58" s="2"/>
      <c r="AB58" s="2"/>
      <c r="AC58" s="453" t="str">
        <f>IF(Abfrage!$B$2&gt;0,Sprache!B101,IF(Abfrage!$B$3&gt;0,Sprache!C101,IF(Abfrage!$B$4&gt;0,Sprache!D101,IF(Abfrage!$B$5&gt;0,Sprache!E101,0))))</f>
        <v>   (ohne Schlüssel)</v>
      </c>
      <c r="AD58" s="2"/>
      <c r="AE58" s="2"/>
      <c r="AF58" s="2"/>
      <c r="AG58" s="2"/>
      <c r="AH58" s="2"/>
      <c r="AI58" s="315"/>
      <c r="AL58" s="12"/>
      <c r="AM58" s="12"/>
      <c r="AN58" s="12"/>
      <c r="AO58" s="12"/>
      <c r="AP58" s="12"/>
      <c r="AQ58" s="12"/>
      <c r="AR58" s="12"/>
      <c r="AS58" s="16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</row>
    <row r="59" spans="1:72" ht="15.75" customHeight="1">
      <c r="A59" s="10"/>
      <c r="B59" s="332">
        <v>8</v>
      </c>
      <c r="C59" s="641" t="str">
        <f>IF(Abfrage!$B$2&gt;0,Sprache!B104,IF(Abfrage!$B$3&gt;0,Sprache!C104,IF(Abfrage!$B$4&gt;0,Sprache!D104,IF(Abfrage!$B$5&gt;0,Sprache!E104,0))))</f>
        <v>Frontplatte</v>
      </c>
      <c r="D59" s="641"/>
      <c r="E59" s="641"/>
      <c r="F59" s="641"/>
      <c r="G59" s="641"/>
      <c r="H59" s="641"/>
      <c r="I59" s="641"/>
      <c r="J59" s="358"/>
      <c r="K59" s="358"/>
      <c r="L59" s="358"/>
      <c r="M59" s="455"/>
      <c r="N59" s="316"/>
      <c r="O59" s="359"/>
      <c r="P59" s="557" t="str">
        <f>IF(Abfrage!$B$2&gt;0,Sprache!B110,IF(Abfrage!$B$3&gt;0,Sprache!C110,IF(Abfrage!$B$4&gt;0,Sprache!D110,IF(Abfrage!$B$5&gt;0,Sprache!E110,0))))</f>
        <v>Zubehör Frontplatte  (wenn keine Platte von Bernstein mitgeliefert wird)</v>
      </c>
      <c r="Q59" s="405"/>
      <c r="R59" s="405"/>
      <c r="S59" s="405"/>
      <c r="T59" s="405"/>
      <c r="U59" s="405"/>
      <c r="V59" s="405"/>
      <c r="W59" s="405"/>
      <c r="X59" s="405"/>
      <c r="Y59" s="405"/>
      <c r="Z59" s="406"/>
      <c r="AA59" s="405"/>
      <c r="AB59" s="405"/>
      <c r="AC59" s="405"/>
      <c r="AD59" s="405"/>
      <c r="AE59" s="405"/>
      <c r="AF59" s="405"/>
      <c r="AG59" s="405"/>
      <c r="AH59" s="405"/>
      <c r="AI59" s="456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</row>
    <row r="60" spans="1:72" ht="16.5" customHeight="1">
      <c r="A60" s="10"/>
      <c r="B60" s="360"/>
      <c r="C60" s="361"/>
      <c r="D60" s="379"/>
      <c r="E60" s="650" t="str">
        <f>IF(Abfrage!$B$2&gt;0,Sprache!B105,IF(Abfrage!$B$3&gt;0,Sprache!C105,IF(Abfrage!$B$4&gt;0,Sprache!D105,IF(Abfrage!$B$5&gt;0,Sprache!E105,0))))</f>
        <v>keine</v>
      </c>
      <c r="F60" s="650"/>
      <c r="G60" s="656"/>
      <c r="H60" s="656"/>
      <c r="I60" s="2"/>
      <c r="J60" s="2"/>
      <c r="K60" s="372" t="str">
        <f>IF(Abfrage!$B$2&gt;0,Sprache!B106,IF(Abfrage!$B$3&gt;0,Sprache!C106,IF(Abfrage!$B$4&gt;0,Sprache!D106,IF(Abfrage!$B$5&gt;0,Sprache!E106,0))))</f>
        <v>mit</v>
      </c>
      <c r="L60" s="372"/>
      <c r="M60" s="372"/>
      <c r="N60" s="363"/>
      <c r="O60" s="515"/>
      <c r="P60" s="407"/>
      <c r="Q60" s="411"/>
      <c r="R60" s="411"/>
      <c r="S60" s="411"/>
      <c r="T60" s="411"/>
      <c r="U60" s="411"/>
      <c r="V60" s="411"/>
      <c r="W60" s="408"/>
      <c r="X60" s="411"/>
      <c r="Y60" s="411"/>
      <c r="Z60" s="408"/>
      <c r="AA60" s="411"/>
      <c r="AB60" s="457"/>
      <c r="AC60" s="457"/>
      <c r="AD60" s="457"/>
      <c r="AE60" s="457"/>
      <c r="AF60" s="457"/>
      <c r="AG60" s="457"/>
      <c r="AH60" s="457"/>
      <c r="AI60" s="458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</row>
    <row r="61" spans="1:72" ht="19.5" customHeight="1">
      <c r="A61" s="10"/>
      <c r="B61" s="381"/>
      <c r="C61" s="383"/>
      <c r="D61" s="514"/>
      <c r="E61" s="514"/>
      <c r="F61" s="514"/>
      <c r="G61" s="342"/>
      <c r="H61" s="383"/>
      <c r="I61" s="675">
        <f>IF(form!B42&gt;0,form!A74,IF(form!B43&gt;0,form!A75,""))</f>
      </c>
      <c r="J61" s="675"/>
      <c r="K61" s="675"/>
      <c r="L61" s="675"/>
      <c r="M61" s="675"/>
      <c r="N61" s="675"/>
      <c r="O61" s="676"/>
      <c r="P61" s="459"/>
      <c r="Q61" s="457" t="str">
        <f>IF(Abfrage!$B$2&gt;0,Sprache!B111,IF(Abfrage!$B$3&gt;0,Sprache!C111,IF(Abfrage!$B$4&gt;0,Sprache!D111,IF(Abfrage!$B$5&gt;0,Sprache!E111,0))))</f>
        <v>Für INNEN montierte Platten: Dichtband und Befestigungsmaterial</v>
      </c>
      <c r="R61" s="411"/>
      <c r="S61" s="411"/>
      <c r="T61" s="411"/>
      <c r="U61" s="460"/>
      <c r="V61" s="460"/>
      <c r="W61" s="460"/>
      <c r="X61" s="460"/>
      <c r="Y61" s="460"/>
      <c r="Z61" s="460"/>
      <c r="AA61" s="460"/>
      <c r="AB61" s="457"/>
      <c r="AC61" s="409"/>
      <c r="AD61" s="409"/>
      <c r="AE61" s="409"/>
      <c r="AF61" s="409"/>
      <c r="AG61" s="409"/>
      <c r="AH61" s="409"/>
      <c r="AI61" s="461"/>
      <c r="AL61" s="22"/>
      <c r="AM61" s="27"/>
      <c r="AN61" s="27"/>
      <c r="AO61" s="12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2"/>
      <c r="BT61" s="12"/>
    </row>
    <row r="62" spans="1:72" ht="19.5" customHeight="1" thickBot="1">
      <c r="A62" s="10"/>
      <c r="B62" s="332">
        <v>9</v>
      </c>
      <c r="C62" s="385" t="str">
        <f>IF(Abfrage!$B$2&gt;0,Sprache!B107,IF(Abfrage!$B$3&gt;0,Sprache!C107,IF(Abfrage!$B$4&gt;0,Sprache!D107,IF(Abfrage!$B$5&gt;0,Sprache!E107,0))))</f>
        <v>Rückwand</v>
      </c>
      <c r="D62" s="385"/>
      <c r="E62" s="385"/>
      <c r="F62" s="385"/>
      <c r="G62" s="385"/>
      <c r="H62" s="385"/>
      <c r="I62" s="385"/>
      <c r="J62" s="316"/>
      <c r="K62" s="316"/>
      <c r="L62" s="316"/>
      <c r="M62" s="516"/>
      <c r="N62" s="516"/>
      <c r="O62" s="517"/>
      <c r="P62" s="459"/>
      <c r="Q62" s="457" t="str">
        <f>IF(Abfrage!$B$2&gt;0,Sprache!B112,IF(Abfrage!$B$3&gt;0,Sprache!C112,IF(Abfrage!$B$4&gt;0,Sprache!D112,IF(Abfrage!$B$5&gt;0,Sprache!E112,0))))</f>
        <v>Für AUSSEN montierte Platten: Dichtband / Scheiben / Muttern  M5</v>
      </c>
      <c r="R62" s="411"/>
      <c r="S62" s="411"/>
      <c r="T62" s="457"/>
      <c r="U62" s="457"/>
      <c r="V62" s="457"/>
      <c r="W62" s="457"/>
      <c r="X62" s="457"/>
      <c r="Y62" s="457"/>
      <c r="Z62" s="457"/>
      <c r="AA62" s="457"/>
      <c r="AB62" s="457"/>
      <c r="AC62" s="457"/>
      <c r="AD62" s="457"/>
      <c r="AE62" s="457"/>
      <c r="AF62" s="457"/>
      <c r="AG62" s="457"/>
      <c r="AH62" s="457"/>
      <c r="AI62" s="458"/>
      <c r="AJ62" s="10"/>
      <c r="AL62" s="22"/>
      <c r="AM62" s="12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2"/>
      <c r="BT62" s="12"/>
    </row>
    <row r="63" spans="1:72" ht="19.5" customHeight="1" thickBot="1">
      <c r="A63" s="10"/>
      <c r="B63" s="262"/>
      <c r="C63" s="2"/>
      <c r="D63" s="2"/>
      <c r="E63" s="747" t="str">
        <f>IF(Abfrage!$B$2&gt;0,Sprache!B105,IF(Abfrage!$B$3&gt;0,Sprache!C105,IF(Abfrage!$B$4&gt;0,Sprache!D105,IF(Abfrage!$B$5&gt;0,Sprache!E105,0))))</f>
        <v>keine</v>
      </c>
      <c r="F63" s="747"/>
      <c r="G63" s="2"/>
      <c r="H63" s="2"/>
      <c r="I63" s="2"/>
      <c r="J63" s="2"/>
      <c r="K63" s="748" t="str">
        <f>IF(Abfrage!$B$2&gt;0,Sprache!B106,IF(Abfrage!$B$3&gt;0,Sprache!C106,IF(Abfrage!$B$4&gt;0,Sprache!D106,IF(Abfrage!$B$5&gt;0,Sprache!E106,0))))</f>
        <v>mit</v>
      </c>
      <c r="L63" s="749"/>
      <c r="M63" s="363"/>
      <c r="N63" s="363"/>
      <c r="O63" s="515"/>
      <c r="P63" s="459"/>
      <c r="Q63" s="457" t="str">
        <f>IF(Abfrage!$B$2&gt;0,Sprache!B113,IF(Abfrage!$B$3&gt;0,Sprache!C113,IF(Abfrage!$B$4&gt;0,Sprache!D113,IF(Abfrage!$B$5&gt;0,Sprache!E113,0))))</f>
        <v>19" Montageset (Schrauben und Käfigmuttern M6)</v>
      </c>
      <c r="R63" s="411"/>
      <c r="S63" s="411"/>
      <c r="T63" s="457"/>
      <c r="U63" s="457"/>
      <c r="V63" s="457"/>
      <c r="W63" s="457"/>
      <c r="X63" s="457"/>
      <c r="Y63" s="457"/>
      <c r="Z63" s="457"/>
      <c r="AA63" s="457"/>
      <c r="AB63" s="457"/>
      <c r="AC63" s="457"/>
      <c r="AD63" s="457"/>
      <c r="AE63" s="819"/>
      <c r="AF63" s="820"/>
      <c r="AG63" s="457" t="str">
        <f>IF(Abfrage!$B$2&gt;0,Sprache!B115,IF(Abfrage!$B$3&gt;0,Sprache!C115,IF(Abfrage!$B$4&gt;0,Sprache!D115,IF(Abfrage!$B$5&gt;0,Sprache!E115,0))))</f>
        <v>Stück</v>
      </c>
      <c r="AH63" s="457"/>
      <c r="AI63" s="458"/>
      <c r="AJ63" s="10"/>
      <c r="AL63" s="22"/>
      <c r="AM63" s="23"/>
      <c r="AN63" s="12"/>
      <c r="AO63" s="12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6"/>
      <c r="BE63" s="26"/>
      <c r="BF63" s="26"/>
      <c r="BG63" s="26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2"/>
      <c r="BT63" s="12"/>
    </row>
    <row r="64" spans="1:72" ht="19.5" customHeight="1">
      <c r="A64" s="10"/>
      <c r="B64" s="331"/>
      <c r="C64" s="342"/>
      <c r="D64" s="342"/>
      <c r="E64" s="342"/>
      <c r="F64" s="342"/>
      <c r="G64" s="342"/>
      <c r="H64" s="342"/>
      <c r="I64" s="751">
        <f>IF(form!H41&gt;0,form!A76,IF(form!H42&gt;0,form!A77,IF(Abfrage!B48&gt;0,form!A79,IF((Abfrage!B97+Abfrage!B98)&gt;0,form!A78,""))))</f>
      </c>
      <c r="J64" s="751"/>
      <c r="K64" s="751"/>
      <c r="L64" s="751"/>
      <c r="M64" s="751"/>
      <c r="N64" s="751"/>
      <c r="O64" s="752"/>
      <c r="P64" s="462"/>
      <c r="Q64" s="463" t="str">
        <f>IF(Abfrage!$B$2&gt;0,Sprache!B114,IF(Abfrage!$B$3&gt;0,Sprache!C114,IF(Abfrage!$B$4&gt;0,Sprache!D114,IF(Abfrage!$B$5&gt;0,Sprache!E114,0))))</f>
        <v>(nur in Verbindung mit Zubehör für AUSSEN montierte Platten)</v>
      </c>
      <c r="R64" s="417"/>
      <c r="S64" s="417"/>
      <c r="T64" s="464"/>
      <c r="U64" s="464"/>
      <c r="V64" s="464"/>
      <c r="W64" s="464"/>
      <c r="X64" s="464"/>
      <c r="Y64" s="464"/>
      <c r="Z64" s="464"/>
      <c r="AA64" s="464"/>
      <c r="AB64" s="464"/>
      <c r="AC64" s="464"/>
      <c r="AD64" s="464"/>
      <c r="AE64" s="464"/>
      <c r="AF64" s="464"/>
      <c r="AG64" s="464"/>
      <c r="AH64" s="464"/>
      <c r="AI64" s="465"/>
      <c r="AJ64" s="10"/>
      <c r="AL64" s="22"/>
      <c r="AM64" s="27"/>
      <c r="AN64" s="12"/>
      <c r="AU64" s="26"/>
      <c r="AV64" s="26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26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2"/>
      <c r="BT64" s="12"/>
    </row>
    <row r="65" spans="1:72" ht="19.5" customHeight="1">
      <c r="A65" s="10"/>
      <c r="B65" s="563">
        <v>10</v>
      </c>
      <c r="C65" s="641" t="str">
        <f>IF(Abfrage!$B$2&gt;0,Sprache!B116,IF(Abfrage!$B$3&gt;0,Sprache!C116,IF(Abfrage!$B$4&gt;0,Sprache!D116,IF(Abfrage!$B$5&gt;0,Sprache!E116,0))))</f>
        <v>Trennsteg</v>
      </c>
      <c r="D65" s="641"/>
      <c r="E65" s="641"/>
      <c r="F65" s="641"/>
      <c r="G65" s="641"/>
      <c r="H65" s="641"/>
      <c r="I65" s="641"/>
      <c r="J65" s="313"/>
      <c r="K65" s="316"/>
      <c r="L65" s="313"/>
      <c r="M65" s="358"/>
      <c r="N65" s="560" t="str">
        <f>IF(Abfrage!$B$2&gt;0,Sprache!B120,IF(Abfrage!$B$3&gt;0,Sprache!C120,IF(Abfrage!$B$4&gt;0,Sprache!D120,IF(Abfrage!$B$5&gt;0,Sprache!E120,0))))</f>
        <v>unmontiert (Standard)</v>
      </c>
      <c r="O65" s="313"/>
      <c r="P65" s="313"/>
      <c r="Q65" s="313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561" t="str">
        <f>IF(Abfrage!$B$2&gt;0,Sprache!B125,IF(Abfrage!$B$3&gt;0,Sprache!C125,IF(Abfrage!$B$4&gt;0,Sprache!D125,IF(Abfrage!$B$5&gt;0,Sprache!E125,0))))</f>
        <v>unmontiert (Standard)</v>
      </c>
      <c r="AE65" s="316"/>
      <c r="AF65" s="316"/>
      <c r="AG65" s="316"/>
      <c r="AH65" s="316"/>
      <c r="AI65" s="317"/>
      <c r="AJ65" s="10"/>
      <c r="AL65" s="22"/>
      <c r="AM65" s="27"/>
      <c r="AN65" s="12"/>
      <c r="AU65" s="26"/>
      <c r="AV65" s="26"/>
      <c r="AW65" s="26"/>
      <c r="AX65" s="30"/>
      <c r="AY65" s="29"/>
      <c r="AZ65" s="29"/>
      <c r="BA65" s="29"/>
      <c r="BB65" s="29"/>
      <c r="BC65" s="29"/>
      <c r="BD65" s="29"/>
      <c r="BE65" s="26"/>
      <c r="BF65" s="26"/>
      <c r="BG65" s="26"/>
      <c r="BH65" s="26"/>
      <c r="BI65" s="26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</row>
    <row r="66" spans="1:72" ht="18.75" customHeight="1">
      <c r="A66" s="10"/>
      <c r="B66" s="825" t="str">
        <f>IF(Abfrage!$B$2&gt;0,Sprache!B117,IF(Abfrage!$B$3&gt;0,Sprache!C117,IF(Abfrage!$B$4&gt;0,Sprache!D117,IF(Abfrage!$B$5&gt;0,Sprache!E117,0))))</f>
        <v>Trennsteghöhe</v>
      </c>
      <c r="C66" s="826"/>
      <c r="D66" s="826"/>
      <c r="E66" s="826"/>
      <c r="F66" s="827"/>
      <c r="G66" s="564"/>
      <c r="H66" s="2"/>
      <c r="I66" s="347" t="str">
        <f>IF(Abfrage!$B$2&gt;0,Sprache!B118,IF(Abfrage!$B$3&gt;0,Sprache!C118,IF(Abfrage!$B$4&gt;0,Sprache!D118,IF(Abfrage!$B$5&gt;0,Sprache!E118,0))))</f>
        <v>senkrecht</v>
      </c>
      <c r="J66" s="347"/>
      <c r="K66" s="347"/>
      <c r="L66" s="347"/>
      <c r="M66" s="362"/>
      <c r="N66" s="454" t="str">
        <f>IF(Abfrage!$B$2&gt;0,Sprache!B121,IF(Abfrage!$B$3&gt;0,Sprache!C121,IF(Abfrage!$B$4&gt;0,Sprache!D121,IF(Abfrage!$B$5&gt;0,Sprache!E121,0))))</f>
        <v>rechts montiert</v>
      </c>
      <c r="O66" s="314"/>
      <c r="P66" s="314"/>
      <c r="Q66" s="314"/>
      <c r="R66" s="2"/>
      <c r="S66" s="2"/>
      <c r="T66" s="2"/>
      <c r="U66" s="2"/>
      <c r="V66" s="2"/>
      <c r="W66" s="2"/>
      <c r="X66" s="818" t="str">
        <f>IF(Abfrage!$B$2&gt;0,Sprache!B123,IF(Abfrage!$B$3&gt;0,Sprache!C123,IF(Abfrage!$B$4&gt;0,Sprache!D123,IF(Abfrage!$B$5&gt;0,Sprache!E123,0))))</f>
        <v>waagerecht</v>
      </c>
      <c r="Y66" s="818"/>
      <c r="Z66" s="818"/>
      <c r="AA66" s="818"/>
      <c r="AB66" s="2"/>
      <c r="AC66" s="2"/>
      <c r="AD66" s="403" t="str">
        <f>IF(Abfrage!$B$2&gt;0,Sprache!B126,IF(Abfrage!$B$3&gt;0,Sprache!C126,IF(Abfrage!$B$4&gt;0,Sprache!D126,IF(Abfrage!$B$5&gt;0,Sprache!E126,0))))</f>
        <v>unten montiert</v>
      </c>
      <c r="AE66" s="2"/>
      <c r="AF66" s="314"/>
      <c r="AG66" s="314"/>
      <c r="AH66" s="2"/>
      <c r="AI66" s="315"/>
      <c r="AJ66" s="2"/>
      <c r="AL66" s="12"/>
      <c r="AM66" s="12"/>
      <c r="AN66" s="12"/>
      <c r="AU66" s="26"/>
      <c r="AV66" s="26"/>
      <c r="AW66" s="26"/>
      <c r="AX66" s="31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</row>
    <row r="67" spans="1:61" ht="18.75" customHeight="1">
      <c r="A67" s="10"/>
      <c r="B67" s="828" t="s">
        <v>629</v>
      </c>
      <c r="C67" s="829"/>
      <c r="D67" s="829"/>
      <c r="E67" s="829"/>
      <c r="F67" s="830"/>
      <c r="G67" s="312"/>
      <c r="H67" s="312"/>
      <c r="I67" s="392" t="str">
        <f>IF(Abfrage!$B$2&gt;0,Sprache!B119,IF(Abfrage!$B$3&gt;0,Sprache!C119,IF(Abfrage!$B$4&gt;0,Sprache!D119,IF(Abfrage!$B$5&gt;0,Sprache!E119,0))))</f>
        <v>Anzahl:</v>
      </c>
      <c r="J67" s="623"/>
      <c r="K67" s="610"/>
      <c r="L67" s="342"/>
      <c r="M67" s="342"/>
      <c r="N67" s="562" t="str">
        <f>IF(Abfrage!$B$2&gt;0,Sprache!B122,IF(Abfrage!$B$3&gt;0,Sprache!C122,IF(Abfrage!$B$4&gt;0,Sprache!D122,IF(Abfrage!$B$5&gt;0,Sprache!E122,0))))</f>
        <v>links montiert</v>
      </c>
      <c r="O67" s="312"/>
      <c r="P67" s="312"/>
      <c r="Q67" s="312"/>
      <c r="R67" s="342"/>
      <c r="S67" s="342"/>
      <c r="T67" s="342"/>
      <c r="U67" s="342"/>
      <c r="V67" s="392"/>
      <c r="W67" s="392"/>
      <c r="X67" s="342"/>
      <c r="Y67" s="467" t="str">
        <f>IF(Abfrage!$B$2&gt;0,Sprache!B119,IF(Abfrage!$B$3&gt;0,Sprache!C119,IF(Abfrage!$B$4&gt;0,Sprache!D119,IF(Abfrage!$B$5&gt;0,Sprache!E119,0))))</f>
        <v>Anzahl:</v>
      </c>
      <c r="Z67" s="623"/>
      <c r="AA67" s="610"/>
      <c r="AB67" s="342"/>
      <c r="AC67" s="342"/>
      <c r="AD67" s="391" t="str">
        <f>IF(Abfrage!$B$2&gt;0,Sprache!B127,IF(Abfrage!$B$3&gt;0,Sprache!C127,IF(Abfrage!$B$4&gt;0,Sprache!D127,IF(Abfrage!$B$5&gt;0,Sprache!E127,0))))</f>
        <v>oben montiert</v>
      </c>
      <c r="AE67" s="342"/>
      <c r="AF67" s="312"/>
      <c r="AG67" s="312"/>
      <c r="AH67" s="342"/>
      <c r="AI67" s="345"/>
      <c r="AJ67" s="2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26"/>
      <c r="BG67" s="26"/>
      <c r="BH67" s="26"/>
      <c r="BI67" s="24"/>
    </row>
    <row r="68" spans="1:61" ht="18.75" customHeight="1">
      <c r="A68" s="10"/>
      <c r="B68" s="449">
        <v>11</v>
      </c>
      <c r="C68" s="750" t="str">
        <f>IF(Abfrage!$B$2&gt;0,Sprache!B128,IF(Abfrage!$B$3&gt;0,Sprache!C128,IF(Abfrage!$B$4&gt;0,Sprache!D128,IF(Abfrage!$B$5&gt;0,Sprache!E128,0))))</f>
        <v>Teilfrontplatten</v>
      </c>
      <c r="D68" s="750"/>
      <c r="E68" s="750"/>
      <c r="F68" s="750"/>
      <c r="G68" s="750"/>
      <c r="H68" s="750"/>
      <c r="I68" s="750"/>
      <c r="J68" s="365"/>
      <c r="K68" s="468" t="str">
        <f>IF(Abfrage!$B$2&gt;0,Sprache!B129,IF(Abfrage!$B$3&gt;0,Sprache!C129,IF(Abfrage!$B$4&gt;0,Sprache!D129,IF(Abfrage!$B$5&gt;0,Sprache!E129,0))))</f>
        <v>keine</v>
      </c>
      <c r="L68" s="365"/>
      <c r="M68" s="753" t="str">
        <f>IF(Abfrage!$B$2&gt;0,Sprache!B130,IF(Abfrage!$B$3&gt;0,Sprache!C130,IF(Abfrage!$B$4&gt;0,Sprache!D130,IF(Abfrage!$B$5&gt;0,Sprache!E130,0))))</f>
        <v>(wenn keine Platte von Bernstein mitgeliefert wird, dann unter Punkt 8 Befestigungszubehör wählen)</v>
      </c>
      <c r="N68" s="753"/>
      <c r="O68" s="753"/>
      <c r="P68" s="753"/>
      <c r="Q68" s="753"/>
      <c r="R68" s="753"/>
      <c r="S68" s="753"/>
      <c r="T68" s="753"/>
      <c r="U68" s="753"/>
      <c r="V68" s="753"/>
      <c r="W68" s="753"/>
      <c r="X68" s="753"/>
      <c r="Y68" s="753"/>
      <c r="Z68" s="753"/>
      <c r="AA68" s="753"/>
      <c r="AB68" s="753"/>
      <c r="AC68" s="753"/>
      <c r="AD68" s="753"/>
      <c r="AE68" s="753"/>
      <c r="AF68" s="753"/>
      <c r="AG68" s="753"/>
      <c r="AH68" s="753"/>
      <c r="AI68" s="754"/>
      <c r="AJ68" s="2"/>
      <c r="AN68" s="24"/>
      <c r="AO68" s="13"/>
      <c r="AP68" s="13"/>
      <c r="AQ68" s="14"/>
      <c r="AR68" s="15"/>
      <c r="AS68" s="15"/>
      <c r="AT68" s="15"/>
      <c r="AU68" s="16"/>
      <c r="AV68" s="16"/>
      <c r="AW68" s="16"/>
      <c r="AX68" s="16"/>
      <c r="AY68" s="16"/>
      <c r="AZ68" s="24"/>
      <c r="BA68" s="16"/>
      <c r="BB68" s="26"/>
      <c r="BC68" s="26"/>
      <c r="BD68" s="16"/>
      <c r="BE68" s="16"/>
      <c r="BF68" s="32"/>
      <c r="BG68" s="26"/>
      <c r="BH68" s="26"/>
      <c r="BI68" s="24"/>
    </row>
    <row r="69" spans="1:61" ht="13.5" customHeight="1">
      <c r="A69" s="10"/>
      <c r="B69" s="469"/>
      <c r="C69" s="2"/>
      <c r="D69" s="2"/>
      <c r="E69" s="2"/>
      <c r="F69" s="2"/>
      <c r="G69" s="816" t="str">
        <f>IF(Abfrage!$B$2&gt;0,Sprache!B131,IF(Abfrage!$B$3&gt;0,Sprache!C131,IF(Abfrage!$B$4&gt;0,Sprache!D131,IF(Abfrage!$B$5&gt;0,Sprache!E131,0))))</f>
        <v>Breite x Höhe</v>
      </c>
      <c r="H69" s="816"/>
      <c r="I69" s="816"/>
      <c r="J69" s="816"/>
      <c r="K69" s="816"/>
      <c r="L69" s="2"/>
      <c r="M69" s="2"/>
      <c r="N69" s="2"/>
      <c r="O69" s="2"/>
      <c r="P69" s="2"/>
      <c r="Q69" s="2"/>
      <c r="R69" s="2"/>
      <c r="S69" s="2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815" t="str">
        <f>IF(Abfrage!$B$2&gt;0,Sprache!B136,IF(Abfrage!$B$3&gt;0,Sprache!C136,IF(Abfrage!$B$4&gt;0,Sprache!D136,IF(Abfrage!$B$5&gt;0,Sprache!E136,0))))</f>
        <v>Artikel Nr. BP</v>
      </c>
      <c r="AE69" s="815"/>
      <c r="AF69" s="815"/>
      <c r="AG69" s="815"/>
      <c r="AH69" s="815"/>
      <c r="AI69" s="470"/>
      <c r="AJ69" s="2"/>
      <c r="AO69" s="13"/>
      <c r="AP69" s="13"/>
      <c r="AQ69" s="14"/>
      <c r="AR69" s="15"/>
      <c r="AS69" s="15"/>
      <c r="AT69" s="15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32"/>
      <c r="BG69" s="26"/>
      <c r="BH69" s="26"/>
      <c r="BI69" s="24"/>
    </row>
    <row r="70" spans="1:61" ht="19.5" customHeight="1">
      <c r="A70" s="10"/>
      <c r="B70" s="729" t="str">
        <f>IF(Abfrage!$B$2&gt;0,Sprache!B132,IF(Abfrage!$B$3&gt;0,Sprache!C132,IF(Abfrage!$B$4&gt;0,Sprache!D132,IF(Abfrage!$B$5&gt;0,Sprache!E132,0))))</f>
        <v>1. Bedienplatte:</v>
      </c>
      <c r="C70" s="730"/>
      <c r="D70" s="730"/>
      <c r="E70" s="730"/>
      <c r="F70" s="731"/>
      <c r="G70" s="623"/>
      <c r="H70" s="610"/>
      <c r="I70" s="387" t="s">
        <v>687</v>
      </c>
      <c r="J70" s="623"/>
      <c r="K70" s="610"/>
      <c r="L70" s="2"/>
      <c r="M70" s="542" t="str">
        <f>IF(Abfrage!$B$2&gt;0,Sprache!B133,IF(Abfrage!$B$3&gt;0,Sprache!C133,IF(Abfrage!$B$4&gt;0,Sprache!D133,IF(Abfrage!$B$5&gt;0,Sprache!E133,0))))</f>
        <v>unmontiert</v>
      </c>
      <c r="N70" s="2"/>
      <c r="O70" s="361"/>
      <c r="P70" s="361"/>
      <c r="Q70" s="2"/>
      <c r="R70" s="565" t="str">
        <f>IF(Abfrage!$B$2&gt;0,Sprache!B134,IF(Abfrage!$B$3&gt;0,Sprache!C134,IF(Abfrage!$B$4&gt;0,Sprache!D134,IF(Abfrage!$B$5&gt;0,Sprache!E134,0))))</f>
        <v>INNEN montiert</v>
      </c>
      <c r="S70" s="468"/>
      <c r="T70" s="468"/>
      <c r="U70" s="361"/>
      <c r="V70" s="2"/>
      <c r="W70" s="377"/>
      <c r="X70" s="377"/>
      <c r="Y70" s="565" t="str">
        <f>IF(Abfrage!$B$2&gt;0,Sprache!B135,IF(Abfrage!$B$3&gt;0,Sprache!C135,IF(Abfrage!$B$4&gt;0,Sprache!D135,IF(Abfrage!$B$5&gt;0,Sprache!E135,0))))</f>
        <v>AUSSEN montiert</v>
      </c>
      <c r="Z70" s="377"/>
      <c r="AA70" s="377"/>
      <c r="AB70" s="361"/>
      <c r="AC70" s="2"/>
      <c r="AD70" s="812"/>
      <c r="AE70" s="813"/>
      <c r="AF70" s="813"/>
      <c r="AG70" s="813"/>
      <c r="AH70" s="814"/>
      <c r="AI70" s="380"/>
      <c r="AJ70" s="2"/>
      <c r="AU70" s="24"/>
      <c r="AV70" s="24"/>
      <c r="AW70" s="24"/>
      <c r="AX70" s="24"/>
      <c r="AY70" s="24"/>
      <c r="AZ70" s="24"/>
      <c r="BA70" s="24"/>
      <c r="BB70" s="26"/>
      <c r="BC70" s="26"/>
      <c r="BD70" s="24"/>
      <c r="BE70" s="24"/>
      <c r="BF70" s="24"/>
      <c r="BG70" s="24"/>
      <c r="BH70" s="24"/>
      <c r="BI70" s="24"/>
    </row>
    <row r="71" spans="1:61" ht="19.5" customHeight="1">
      <c r="A71" s="10"/>
      <c r="B71" s="729" t="str">
        <f>IF(Abfrage!$B$2&gt;0,Sprache!B137,IF(Abfrage!$B$3&gt;0,Sprache!C137,IF(Abfrage!$B$4&gt;0,Sprache!D137,IF(Abfrage!$B$5&gt;0,Sprache!E137,0))))</f>
        <v>2. Bedienplatte:</v>
      </c>
      <c r="C71" s="730"/>
      <c r="D71" s="730"/>
      <c r="E71" s="730"/>
      <c r="F71" s="731"/>
      <c r="G71" s="623"/>
      <c r="H71" s="610"/>
      <c r="I71" s="387" t="s">
        <v>687</v>
      </c>
      <c r="J71" s="623"/>
      <c r="K71" s="610"/>
      <c r="L71" s="2"/>
      <c r="M71" s="542" t="str">
        <f>IF(Abfrage!$B$2&gt;0,Sprache!B133,IF(Abfrage!$B$3&gt;0,Sprache!C133,IF(Abfrage!$B$4&gt;0,Sprache!D133,IF(Abfrage!$B$5&gt;0,Sprache!E133,0))))</f>
        <v>unmontiert</v>
      </c>
      <c r="N71" s="2"/>
      <c r="O71" s="2"/>
      <c r="P71" s="2"/>
      <c r="Q71" s="2"/>
      <c r="R71" s="565" t="str">
        <f>IF(Abfrage!$B$2&gt;0,Sprache!B134,IF(Abfrage!$B$3&gt;0,Sprache!C134,IF(Abfrage!$B$4&gt;0,Sprache!D134,IF(Abfrage!$B$5&gt;0,Sprache!E134,0))))</f>
        <v>INNEN montiert</v>
      </c>
      <c r="S71" s="468"/>
      <c r="T71" s="468"/>
      <c r="U71" s="2"/>
      <c r="V71" s="2"/>
      <c r="W71" s="377"/>
      <c r="X71" s="377"/>
      <c r="Y71" s="565" t="str">
        <f>IF(Abfrage!$B$2&gt;0,Sprache!B135,IF(Abfrage!$B$3&gt;0,Sprache!C135,IF(Abfrage!$B$4&gt;0,Sprache!D135,IF(Abfrage!$B$5&gt;0,Sprache!E135,0))))</f>
        <v>AUSSEN montiert</v>
      </c>
      <c r="Z71" s="377"/>
      <c r="AA71" s="377"/>
      <c r="AB71" s="2"/>
      <c r="AC71" s="2"/>
      <c r="AD71" s="812"/>
      <c r="AE71" s="813"/>
      <c r="AF71" s="813"/>
      <c r="AG71" s="813"/>
      <c r="AH71" s="814"/>
      <c r="AI71" s="315"/>
      <c r="AJ71" s="2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</row>
    <row r="72" spans="1:61" ht="9" customHeight="1">
      <c r="A72" s="10"/>
      <c r="B72" s="262"/>
      <c r="C72" s="2"/>
      <c r="D72" s="2"/>
      <c r="E72" s="471"/>
      <c r="F72" s="2"/>
      <c r="G72" s="338"/>
      <c r="H72" s="338"/>
      <c r="I72" s="338"/>
      <c r="J72" s="472"/>
      <c r="K72" s="472"/>
      <c r="L72" s="376"/>
      <c r="M72" s="472"/>
      <c r="N72" s="47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315"/>
      <c r="AJ72" s="2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</row>
    <row r="73" spans="1:61" ht="18.75" customHeight="1">
      <c r="A73" s="10"/>
      <c r="B73" s="332">
        <v>12</v>
      </c>
      <c r="C73" s="743" t="str">
        <f>IF(Abfrage!$B$2&gt;0,Sprache!B141,IF(Abfrage!$B$3&gt;0,Sprache!C141,IF(Abfrage!$B$4&gt;0,Sprache!D141,IF(Abfrage!$B$5&gt;0,Sprache!E141,0))))</f>
        <v>Bearbeitung für Tragsystem</v>
      </c>
      <c r="D73" s="744"/>
      <c r="E73" s="744"/>
      <c r="F73" s="744"/>
      <c r="G73" s="744"/>
      <c r="H73" s="744"/>
      <c r="I73" s="744"/>
      <c r="J73" s="744"/>
      <c r="K73" s="744"/>
      <c r="L73" s="744"/>
      <c r="M73" s="744"/>
      <c r="N73" s="744"/>
      <c r="O73" s="744"/>
      <c r="P73" s="744"/>
      <c r="Q73" s="744"/>
      <c r="R73" s="510"/>
      <c r="S73" s="473" t="str">
        <f>IF(Abfrage!$B$2&gt;0,Sprache!B142,IF(Abfrage!$B$3&gt;0,Sprache!C142,IF(Abfrage!$B$4&gt;0,Sprache!D142,IF(Abfrage!$B$5&gt;0,Sprache!E142,0))))</f>
        <v>Keine</v>
      </c>
      <c r="T73" s="316"/>
      <c r="U73" s="316"/>
      <c r="V73" s="474"/>
      <c r="W73" s="316"/>
      <c r="X73" s="353"/>
      <c r="Y73" s="316"/>
      <c r="Z73" s="316"/>
      <c r="AA73" s="316"/>
      <c r="AB73" s="808" t="s">
        <v>689</v>
      </c>
      <c r="AC73" s="808"/>
      <c r="AD73" s="316"/>
      <c r="AE73" s="316"/>
      <c r="AF73" s="316"/>
      <c r="AG73" s="316"/>
      <c r="AH73" s="316"/>
      <c r="AI73" s="317"/>
      <c r="AJ73" s="2"/>
      <c r="AP73" s="1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</row>
    <row r="74" spans="1:61" ht="18.75" customHeight="1">
      <c r="A74" s="10"/>
      <c r="B74" s="475"/>
      <c r="C74" s="476"/>
      <c r="D74" s="476"/>
      <c r="E74" s="344" t="str">
        <f>IF(Abfrage!$B$2&gt;0,Sprache!B143,IF(Abfrage!$B$3&gt;0,Sprache!C143,IF(Abfrage!$B$4&gt;0,Sprache!D143,IF(Abfrage!$B$5&gt;0,Sprache!E143,0))))</f>
        <v>Standardbearbeitung ( Flansch 50 / 60 / SL )</v>
      </c>
      <c r="F74" s="476"/>
      <c r="G74" s="476"/>
      <c r="H74" s="476"/>
      <c r="I74" s="476"/>
      <c r="J74" s="476"/>
      <c r="K74" s="476"/>
      <c r="L74" s="338"/>
      <c r="M74" s="338"/>
      <c r="N74" s="338"/>
      <c r="O74" s="338"/>
      <c r="P74" s="476"/>
      <c r="Q74" s="476"/>
      <c r="R74" s="466"/>
      <c r="S74" s="2"/>
      <c r="T74" s="424"/>
      <c r="U74" s="477"/>
      <c r="V74" s="477"/>
      <c r="W74" s="2"/>
      <c r="X74" s="338"/>
      <c r="Y74" s="314"/>
      <c r="Z74" s="2"/>
      <c r="AA74" s="2"/>
      <c r="AB74" s="809"/>
      <c r="AC74" s="809"/>
      <c r="AD74" s="2"/>
      <c r="AE74" s="2"/>
      <c r="AF74" s="2"/>
      <c r="AG74" s="2"/>
      <c r="AH74" s="2"/>
      <c r="AI74" s="315"/>
      <c r="AJ74" s="2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</row>
    <row r="75" spans="1:61" ht="18.75" customHeight="1">
      <c r="A75" s="10"/>
      <c r="B75" s="475"/>
      <c r="C75" s="338"/>
      <c r="D75" s="2"/>
      <c r="E75" s="344" t="str">
        <f>IF(Abfrage!$B$2&gt;0,Sprache!B144,IF(Abfrage!$B$3&gt;0,Sprache!C144,IF(Abfrage!$B$4&gt;0,Sprache!D144,IF(Abfrage!$B$5&gt;0,Sprache!E144,0))))</f>
        <v>Drehneigungskupplung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54"/>
      <c r="R75" s="2"/>
      <c r="S75" s="2"/>
      <c r="T75" s="2"/>
      <c r="U75" s="2"/>
      <c r="V75" s="354"/>
      <c r="W75" s="2"/>
      <c r="X75" s="2"/>
      <c r="Y75" s="2"/>
      <c r="Z75" s="2"/>
      <c r="AA75" s="807" t="str">
        <f>IF(Abfrage!$B$2&gt;0,Sprache!B151,IF(Abfrage!$B$3&gt;0,Sprache!C151,IF(Abfrage!$B$4&gt;0,Sprache!D151,IF(Abfrage!$B$5&gt;0,Sprache!E151,0))))</f>
        <v>Seite:</v>
      </c>
      <c r="AB75" s="807"/>
      <c r="AC75" s="807"/>
      <c r="AD75" s="2"/>
      <c r="AE75" s="2"/>
      <c r="AF75" s="2"/>
      <c r="AG75" s="2"/>
      <c r="AH75" s="2"/>
      <c r="AI75" s="315"/>
      <c r="AJ75" s="10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</row>
    <row r="76" spans="1:61" ht="18.75" customHeight="1">
      <c r="A76" s="10"/>
      <c r="B76" s="475"/>
      <c r="C76" s="338"/>
      <c r="D76" s="2"/>
      <c r="E76" s="344" t="str">
        <f>IF(Abfrage!$B$2&gt;0,Sprache!B145,IF(Abfrage!$B$3&gt;0,Sprache!C145,IF(Abfrage!$B$4&gt;0,Sprache!D145,IF(Abfrage!$B$5&gt;0,Sprache!E145,0))))</f>
        <v>Neigungsadapter</v>
      </c>
      <c r="F76" s="2"/>
      <c r="G76" s="2"/>
      <c r="H76" s="2"/>
      <c r="I76" s="2"/>
      <c r="J76" s="2"/>
      <c r="K76" s="314" t="str">
        <f>IF(Abfrage!$B$2&gt;0,Sprache!B146,IF(Abfrage!$B$3&gt;0,Sprache!C146,IF(Abfrage!$B$4&gt;0,Sprache!D146,IF(Abfrage!$B$5&gt;0,Sprache!E146,0))))</f>
        <v>(Nur Profil 200)</v>
      </c>
      <c r="L76" s="2"/>
      <c r="M76" s="2"/>
      <c r="N76" s="2"/>
      <c r="O76" s="2"/>
      <c r="P76" s="2"/>
      <c r="Q76" s="403"/>
      <c r="R76" s="2"/>
      <c r="S76" s="403"/>
      <c r="T76" s="403"/>
      <c r="U76" s="403"/>
      <c r="V76" s="424"/>
      <c r="W76" s="2"/>
      <c r="X76" s="2"/>
      <c r="Y76" s="2"/>
      <c r="Z76" s="2"/>
      <c r="AA76" s="807"/>
      <c r="AB76" s="807"/>
      <c r="AC76" s="807"/>
      <c r="AD76" s="2"/>
      <c r="AE76" s="2"/>
      <c r="AF76" s="2"/>
      <c r="AG76" s="2"/>
      <c r="AH76" s="2"/>
      <c r="AI76" s="315"/>
      <c r="AJ76" s="10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</row>
    <row r="77" spans="1:61" ht="18.75" customHeight="1">
      <c r="A77" s="10"/>
      <c r="B77" s="475"/>
      <c r="C77" s="338"/>
      <c r="D77" s="363"/>
      <c r="E77" s="314" t="str">
        <f>IF(Abfrage!$B$2&gt;0,Sprache!B147,IF(Abfrage!$B$3&gt;0,Sprache!C147,IF(Abfrage!$B$4&gt;0,Sprache!D147,IF(Abfrage!$B$5&gt;0,Sprache!E147,0))))</f>
        <v>Flanschkupplung 80</v>
      </c>
      <c r="F77" s="2"/>
      <c r="G77" s="2"/>
      <c r="H77" s="2"/>
      <c r="I77" s="2"/>
      <c r="J77" s="2"/>
      <c r="K77" s="314" t="str">
        <f>IF(Abfrage!$B$2&gt;0,Sprache!B146,IF(Abfrage!$B$3&gt;0,Sprache!C146,IF(Abfrage!$B$4&gt;0,Sprache!D146,IF(Abfrage!$B$5&gt;0,Sprache!E146,0))))</f>
        <v>(Nur Profil 200)</v>
      </c>
      <c r="L77" s="2"/>
      <c r="M77" s="2"/>
      <c r="N77" s="2"/>
      <c r="O77" s="2"/>
      <c r="P77" s="2"/>
      <c r="Q77" s="403"/>
      <c r="R77" s="403"/>
      <c r="S77" s="403"/>
      <c r="T77" s="354"/>
      <c r="U77" s="403"/>
      <c r="V77" s="403"/>
      <c r="W77" s="403"/>
      <c r="X77" s="403"/>
      <c r="Y77" s="403"/>
      <c r="Z77" s="2"/>
      <c r="AA77" s="2"/>
      <c r="AB77" s="809" t="s">
        <v>690</v>
      </c>
      <c r="AC77" s="809"/>
      <c r="AD77" s="2"/>
      <c r="AE77" s="2"/>
      <c r="AF77" s="2"/>
      <c r="AG77" s="2"/>
      <c r="AH77" s="2"/>
      <c r="AI77" s="315"/>
      <c r="AJ77" s="10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</row>
    <row r="78" spans="1:35" ht="18.75" customHeight="1">
      <c r="A78" s="10"/>
      <c r="B78" s="478"/>
      <c r="C78" s="479"/>
      <c r="D78" s="479"/>
      <c r="E78" s="312" t="str">
        <f>IF(Abfrage!$B$2&gt;0,Sprache!B149,IF(Abfrage!$B$3&gt;0,Sprache!C149,IF(Abfrage!$B$4&gt;0,Sprache!D149,IF(Abfrage!$B$5&gt;0,Sprache!E149,0))))</f>
        <v>Pultverbinder</v>
      </c>
      <c r="F78" s="480"/>
      <c r="G78" s="480"/>
      <c r="H78" s="480"/>
      <c r="I78" s="480"/>
      <c r="J78" s="480"/>
      <c r="K78" s="480"/>
      <c r="L78" s="480"/>
      <c r="M78" s="480"/>
      <c r="N78" s="480"/>
      <c r="O78" s="480"/>
      <c r="P78" s="481" t="str">
        <f>IF(Abfrage!$B$2&gt;0,Sprache!B150,IF(Abfrage!$B$3&gt;0,Sprache!C150,IF(Abfrage!$B$4&gt;0,Sprache!D150,IF(Abfrage!$B$5&gt;0,Sprache!E150,0))))</f>
        <v>Sonderbearbeitung n. Kundenwunsch (s.u.)</v>
      </c>
      <c r="Q78" s="341"/>
      <c r="R78" s="341"/>
      <c r="S78" s="341"/>
      <c r="T78" s="341"/>
      <c r="U78" s="341"/>
      <c r="V78" s="341"/>
      <c r="W78" s="341"/>
      <c r="X78" s="341"/>
      <c r="Y78" s="341"/>
      <c r="Z78" s="342"/>
      <c r="AA78" s="342"/>
      <c r="AB78" s="811"/>
      <c r="AC78" s="811"/>
      <c r="AD78" s="342"/>
      <c r="AE78" s="342"/>
      <c r="AF78" s="342"/>
      <c r="AG78" s="342"/>
      <c r="AH78" s="342"/>
      <c r="AI78" s="345"/>
    </row>
    <row r="79" spans="1:36" ht="19.5" customHeight="1">
      <c r="A79" s="10"/>
      <c r="B79" s="449">
        <v>13</v>
      </c>
      <c r="C79" s="482" t="str">
        <f>IF(Abfrage!$B$2&gt;0,Sprache!B152,IF(Abfrage!$B$3&gt;0,Sprache!C152,IF(Abfrage!$B$4&gt;0,Sprache!D152,IF(Abfrage!$B$5&gt;0,Sprache!E152,0))))</f>
        <v>Oberflächenbeschichtung</v>
      </c>
      <c r="D79" s="389"/>
      <c r="E79" s="389"/>
      <c r="F79" s="389"/>
      <c r="G79" s="389"/>
      <c r="H79" s="389"/>
      <c r="I79" s="389"/>
      <c r="J79" s="389"/>
      <c r="K79" s="389"/>
      <c r="L79" s="10"/>
      <c r="M79" s="10"/>
      <c r="N79" s="476" t="str">
        <f>IF(Abfrage!$B$2&gt;0,Sprache!B153,IF(Abfrage!$B$3&gt;0,Sprache!C153,IF(Abfrage!$B$4&gt;0,Sprache!D153,IF(Abfrage!$B$5&gt;0,Sprache!E153,0))))</f>
        <v>Standard</v>
      </c>
      <c r="O79" s="476"/>
      <c r="P79" s="476"/>
      <c r="Q79" s="2"/>
      <c r="R79" s="2"/>
      <c r="S79" s="2"/>
      <c r="T79" s="2"/>
      <c r="U79" s="2"/>
      <c r="V79" s="2"/>
      <c r="W79" s="10"/>
      <c r="X79" s="805" t="str">
        <f>IF(Abfrage!$B$2&gt;0,Sprache!B168,IF(Abfrage!$B$3&gt;0,Sprache!C168,IF(Abfrage!$B$4&gt;0,Sprache!D168,IF(Abfrage!$B$5&gt;0,Sprache!E168,0))))</f>
        <v>Kundenausführung</v>
      </c>
      <c r="Y79" s="805"/>
      <c r="Z79" s="805"/>
      <c r="AA79" s="805"/>
      <c r="AB79" s="805"/>
      <c r="AC79" s="805"/>
      <c r="AD79" s="805"/>
      <c r="AE79" s="805"/>
      <c r="AF79" s="805"/>
      <c r="AG79" s="805"/>
      <c r="AH79" s="805"/>
      <c r="AI79" s="806"/>
      <c r="AJ79" s="690" t="s">
        <v>1194</v>
      </c>
    </row>
    <row r="80" spans="1:36" ht="19.5" customHeight="1">
      <c r="A80" s="10"/>
      <c r="B80" s="262"/>
      <c r="C80" s="686" t="str">
        <f>IF(Abfrage!$B$2&gt;0,Sprache!B154,IF(Abfrage!$B$3&gt;0,Sprache!C154,IF(Abfrage!$B$4&gt;0,Sprache!D154,IF(Abfrage!$B$5&gt;0,Sprache!E154,0))))</f>
        <v>Grundkörper Profile:</v>
      </c>
      <c r="D80" s="686"/>
      <c r="E80" s="686"/>
      <c r="F80" s="686"/>
      <c r="G80" s="686"/>
      <c r="H80" s="686"/>
      <c r="I80" s="686"/>
      <c r="J80" s="686"/>
      <c r="K80" s="2"/>
      <c r="L80" s="2"/>
      <c r="M80" s="677" t="str">
        <f>IF(Abfrage!$B$2&gt;0,Sprache!B155,IF(Abfrage!$B$3&gt;0,Sprache!C155,IF(Abfrage!$B$4&gt;0,Sprache!D155,IF(Abfrage!$B$5&gt;0,Sprache!E155,0))))</f>
        <v>eloxiert, natur</v>
      </c>
      <c r="N80" s="677"/>
      <c r="O80" s="677"/>
      <c r="P80" s="677"/>
      <c r="Q80" s="677"/>
      <c r="R80" s="677"/>
      <c r="S80" s="677"/>
      <c r="T80" s="677"/>
      <c r="U80" s="677"/>
      <c r="V80" s="677"/>
      <c r="W80" s="2"/>
      <c r="X80" s="614"/>
      <c r="Y80" s="615"/>
      <c r="Z80" s="615"/>
      <c r="AA80" s="615"/>
      <c r="AB80" s="615"/>
      <c r="AC80" s="615"/>
      <c r="AD80" s="615"/>
      <c r="AE80" s="615"/>
      <c r="AF80" s="615"/>
      <c r="AG80" s="615"/>
      <c r="AH80" s="615"/>
      <c r="AI80" s="616"/>
      <c r="AJ80" s="690"/>
    </row>
    <row r="81" spans="1:36" ht="19.5" customHeight="1">
      <c r="A81" s="10"/>
      <c r="B81" s="262"/>
      <c r="C81" s="686" t="str">
        <f>IF(Abfrage!$B$2&gt;0,Sprache!B156,IF(Abfrage!$B$3&gt;0,Sprache!C156,IF(Abfrage!$B$4&gt;0,Sprache!D156,IF(Abfrage!$B$5&gt;0,Sprache!E156,0))))</f>
        <v>Tür Profile</v>
      </c>
      <c r="D81" s="686"/>
      <c r="E81" s="686"/>
      <c r="F81" s="686"/>
      <c r="G81" s="686"/>
      <c r="H81" s="686"/>
      <c r="I81" s="686"/>
      <c r="J81" s="686"/>
      <c r="K81" s="2"/>
      <c r="L81" s="2"/>
      <c r="M81" s="686" t="str">
        <f>IF(Abfrage!$B$2&gt;0,Sprache!B155,IF(Abfrage!$B$3&gt;0,Sprache!C155,IF(Abfrage!$B$4&gt;0,Sprache!D155,IF(Abfrage!$B$5&gt;0,Sprache!E155,0))))</f>
        <v>eloxiert, natur</v>
      </c>
      <c r="N81" s="686"/>
      <c r="O81" s="686"/>
      <c r="P81" s="686"/>
      <c r="Q81" s="686"/>
      <c r="R81" s="686"/>
      <c r="S81" s="686"/>
      <c r="T81" s="687"/>
      <c r="U81" s="2"/>
      <c r="V81" s="2"/>
      <c r="W81" s="2"/>
      <c r="X81" s="614"/>
      <c r="Y81" s="615"/>
      <c r="Z81" s="615"/>
      <c r="AA81" s="615"/>
      <c r="AB81" s="615"/>
      <c r="AC81" s="615"/>
      <c r="AD81" s="615"/>
      <c r="AE81" s="615"/>
      <c r="AF81" s="615"/>
      <c r="AG81" s="615"/>
      <c r="AH81" s="615"/>
      <c r="AI81" s="616"/>
      <c r="AJ81" s="690"/>
    </row>
    <row r="82" spans="1:36" ht="19.5" customHeight="1">
      <c r="A82" s="10"/>
      <c r="B82" s="262"/>
      <c r="C82" s="314" t="str">
        <f>IF(Abfrage!$B$2&gt;0,Sprache!B158,IF(Abfrage!$B$3&gt;0,Sprache!C158,IF(Abfrage!$B$4&gt;0,Sprache!D158,IF(Abfrage!$B$5&gt;0,Sprache!E158,0))))</f>
        <v>Eckmodule /Abschlußkappen</v>
      </c>
      <c r="D82" s="314"/>
      <c r="E82" s="314"/>
      <c r="F82" s="314"/>
      <c r="G82" s="314"/>
      <c r="H82" s="314"/>
      <c r="I82" s="314"/>
      <c r="J82" s="314"/>
      <c r="K82" s="2"/>
      <c r="L82" s="2"/>
      <c r="M82" s="822" t="str">
        <f>IF(Abfrage!$B$2&gt;0,Sprache!B159,IF(Abfrage!$B$3&gt;0,Sprache!C159,IF(Abfrage!$B$4&gt;0,Sprache!D159,IF(Abfrage!$B$5&gt;0,Sprache!E159,0))))</f>
        <v>RAL 7016, gepulvert</v>
      </c>
      <c r="N82" s="822"/>
      <c r="O82" s="822"/>
      <c r="P82" s="822"/>
      <c r="Q82" s="822"/>
      <c r="R82" s="822"/>
      <c r="S82" s="822"/>
      <c r="T82" s="355"/>
      <c r="U82" s="2"/>
      <c r="V82" s="2"/>
      <c r="W82" s="2"/>
      <c r="X82" s="614"/>
      <c r="Y82" s="615"/>
      <c r="Z82" s="615"/>
      <c r="AA82" s="615"/>
      <c r="AB82" s="615"/>
      <c r="AC82" s="615"/>
      <c r="AD82" s="615"/>
      <c r="AE82" s="615"/>
      <c r="AF82" s="615"/>
      <c r="AG82" s="615"/>
      <c r="AH82" s="615"/>
      <c r="AI82" s="616"/>
      <c r="AJ82" s="690"/>
    </row>
    <row r="83" spans="1:36" ht="19.5" customHeight="1">
      <c r="A83" s="10"/>
      <c r="B83" s="262"/>
      <c r="C83" s="686" t="str">
        <f>IF(Abfrage!$B$2&gt;0,Sprache!B160,IF(Abfrage!$B$3&gt;0,Sprache!C160,IF(Abfrage!$B$4&gt;0,Sprache!D160,IF(Abfrage!$B$5&gt;0,Sprache!E160,0))))</f>
        <v>Trennsteg:</v>
      </c>
      <c r="D83" s="686"/>
      <c r="E83" s="686"/>
      <c r="F83" s="686"/>
      <c r="G83" s="686"/>
      <c r="H83" s="686"/>
      <c r="I83" s="686"/>
      <c r="J83" s="686"/>
      <c r="K83" s="2"/>
      <c r="L83" s="2"/>
      <c r="M83" s="691" t="str">
        <f>IF(Abfrage!$B$2&gt;0,Sprache!B155,IF(Abfrage!$B$3&gt;0,Sprache!C155,IF(Abfrage!$B$4&gt;0,Sprache!D155,IF(Abfrage!$B$5&gt;0,Sprache!E155,0))))</f>
        <v>eloxiert, natur</v>
      </c>
      <c r="N83" s="691"/>
      <c r="O83" s="691"/>
      <c r="P83" s="691"/>
      <c r="Q83" s="691"/>
      <c r="R83" s="691"/>
      <c r="S83" s="691"/>
      <c r="T83" s="691"/>
      <c r="U83" s="691"/>
      <c r="V83" s="691"/>
      <c r="W83" s="2"/>
      <c r="X83" s="602"/>
      <c r="Y83" s="603"/>
      <c r="Z83" s="603"/>
      <c r="AA83" s="603"/>
      <c r="AB83" s="603"/>
      <c r="AC83" s="603"/>
      <c r="AD83" s="603"/>
      <c r="AE83" s="603"/>
      <c r="AF83" s="603"/>
      <c r="AG83" s="603"/>
      <c r="AH83" s="603"/>
      <c r="AI83" s="604"/>
      <c r="AJ83" s="690"/>
    </row>
    <row r="84" spans="1:36" ht="19.5" customHeight="1">
      <c r="A84" s="10"/>
      <c r="B84" s="262"/>
      <c r="C84" s="686" t="str">
        <f>IF(Abfrage!$B$2&gt;0,Sprache!B162,IF(Abfrage!$B$3&gt;0,Sprache!C162,IF(Abfrage!$B$4&gt;0,Sprache!D162,IF(Abfrage!$B$5&gt;0,Sprache!E162,0))))</f>
        <v>Frontplatten:</v>
      </c>
      <c r="D84" s="686"/>
      <c r="E84" s="686"/>
      <c r="F84" s="686"/>
      <c r="G84" s="686"/>
      <c r="H84" s="686"/>
      <c r="I84" s="686"/>
      <c r="J84" s="686"/>
      <c r="K84" s="2"/>
      <c r="L84" s="2"/>
      <c r="M84" s="677" t="str">
        <f>IF(Abfrage!$B$2&gt;0,Sprache!B155,IF(Abfrage!$B$3&gt;0,Sprache!C155,IF(Abfrage!$B$4&gt;0,Sprache!D155,IF(Abfrage!$B$5&gt;0,Sprache!E155,0))))</f>
        <v>eloxiert, natur</v>
      </c>
      <c r="N84" s="677"/>
      <c r="O84" s="677"/>
      <c r="P84" s="677"/>
      <c r="Q84" s="677"/>
      <c r="R84" s="677"/>
      <c r="S84" s="677"/>
      <c r="T84" s="688" t="str">
        <f>IF(Abfrage!$B$2&gt;0,Sprache!B164,IF(Abfrage!$B$3&gt;0,Sprache!C164,IF(Abfrage!$B$4&gt;0,Sprache!D164,IF(Abfrage!$B$5&gt;0,Sprache!E164,0))))</f>
        <v>Artikel Nr. FP:</v>
      </c>
      <c r="U84" s="688"/>
      <c r="V84" s="688"/>
      <c r="W84" s="689"/>
      <c r="X84" s="605"/>
      <c r="Y84" s="606"/>
      <c r="Z84" s="606"/>
      <c r="AA84" s="606"/>
      <c r="AB84" s="606"/>
      <c r="AC84" s="606"/>
      <c r="AD84" s="606"/>
      <c r="AE84" s="606"/>
      <c r="AF84" s="606"/>
      <c r="AG84" s="606"/>
      <c r="AH84" s="606"/>
      <c r="AI84" s="607"/>
      <c r="AJ84" s="690"/>
    </row>
    <row r="85" spans="1:36" ht="19.5" customHeight="1">
      <c r="A85" s="10"/>
      <c r="B85" s="331"/>
      <c r="C85" s="692" t="str">
        <f>IF(Abfrage!$B$2&gt;0,Sprache!B165,IF(Abfrage!$B$3&gt;0,Sprache!C165,IF(Abfrage!$B$4&gt;0,Sprache!D165,IF(Abfrage!$B$5&gt;0,Sprache!E165,0))))</f>
        <v>Rückwände:</v>
      </c>
      <c r="D85" s="692"/>
      <c r="E85" s="692"/>
      <c r="F85" s="692"/>
      <c r="G85" s="692"/>
      <c r="H85" s="692"/>
      <c r="I85" s="692"/>
      <c r="J85" s="692"/>
      <c r="K85" s="342"/>
      <c r="L85" s="342"/>
      <c r="M85" s="728" t="str">
        <f>IF(Abfrage!$B$2&gt;0,Sprache!B155,IF(Abfrage!$B$3&gt;0,Sprache!C155,IF(Abfrage!$B$4&gt;0,Sprache!D155,IF(Abfrage!$B$5&gt;0,Sprache!E155,0))))</f>
        <v>eloxiert, natur</v>
      </c>
      <c r="N85" s="728"/>
      <c r="O85" s="728"/>
      <c r="P85" s="728"/>
      <c r="Q85" s="728"/>
      <c r="R85" s="728"/>
      <c r="S85" s="728"/>
      <c r="T85" s="726" t="str">
        <f>IF(Abfrage!$B$2&gt;0,Sprache!B167,IF(Abfrage!$B$3&gt;0,Sprache!C167,IF(Abfrage!$B$4&gt;0,Sprache!D167,IF(Abfrage!$B$5&gt;0,Sprache!E167,0))))</f>
        <v>Artikel Nr. RW:</v>
      </c>
      <c r="U85" s="726"/>
      <c r="V85" s="726"/>
      <c r="W85" s="727"/>
      <c r="X85" s="605"/>
      <c r="Y85" s="606"/>
      <c r="Z85" s="606"/>
      <c r="AA85" s="606"/>
      <c r="AB85" s="606"/>
      <c r="AC85" s="606"/>
      <c r="AD85" s="606"/>
      <c r="AE85" s="606"/>
      <c r="AF85" s="606"/>
      <c r="AG85" s="606"/>
      <c r="AH85" s="606"/>
      <c r="AI85" s="607"/>
      <c r="AJ85" s="690"/>
    </row>
    <row r="86" spans="1:36" ht="19.5" customHeight="1">
      <c r="A86" s="10"/>
      <c r="B86" s="449">
        <v>14</v>
      </c>
      <c r="C86" s="725" t="str">
        <f>IF(Abfrage!$B$2&gt;0,Sprache!B169,IF(Abfrage!$B$3&gt;0,Sprache!C169,IF(Abfrage!$B$4&gt;0,Sprache!D169,IF(Abfrage!$B$5&gt;0,Sprache!E169,0))))</f>
        <v>Zubehör, Anmerkung</v>
      </c>
      <c r="D86" s="641"/>
      <c r="E86" s="641"/>
      <c r="F86" s="641"/>
      <c r="G86" s="641"/>
      <c r="H86" s="641"/>
      <c r="I86" s="641"/>
      <c r="J86" s="641"/>
      <c r="K86" s="641"/>
      <c r="L86" s="641"/>
      <c r="M86" s="483"/>
      <c r="N86" s="608" t="str">
        <f>IF(Abfrage!$B$2&gt;0,Sprache!B170,IF(Abfrage!$B$3&gt;0,Sprache!C170,IF(Abfrage!$B$4&gt;0,Sprache!D170,IF(Abfrage!$B$5&gt;0,Sprache!E170,0))))</f>
        <v>Im Lieferumfang enthalten: Schlüssel und Erdungsset</v>
      </c>
      <c r="O86" s="608"/>
      <c r="P86" s="608"/>
      <c r="Q86" s="608"/>
      <c r="R86" s="608"/>
      <c r="S86" s="608"/>
      <c r="T86" s="608"/>
      <c r="U86" s="608"/>
      <c r="V86" s="608"/>
      <c r="W86" s="608"/>
      <c r="X86" s="638"/>
      <c r="Y86" s="638"/>
      <c r="Z86" s="638"/>
      <c r="AA86" s="638"/>
      <c r="AB86" s="638"/>
      <c r="AC86" s="638"/>
      <c r="AD86" s="638"/>
      <c r="AE86" s="638"/>
      <c r="AF86" s="638"/>
      <c r="AG86" s="638"/>
      <c r="AH86" s="638"/>
      <c r="AI86" s="599"/>
      <c r="AJ86" s="690"/>
    </row>
    <row r="87" spans="1:36" ht="19.5" customHeight="1">
      <c r="A87" s="10"/>
      <c r="B87" s="386"/>
      <c r="C87" s="721"/>
      <c r="D87" s="722"/>
      <c r="E87" s="722"/>
      <c r="F87" s="722"/>
      <c r="G87" s="722"/>
      <c r="H87" s="722"/>
      <c r="I87" s="722"/>
      <c r="J87" s="722"/>
      <c r="K87" s="722"/>
      <c r="L87" s="722"/>
      <c r="M87" s="722"/>
      <c r="N87" s="722"/>
      <c r="O87" s="722"/>
      <c r="P87" s="722"/>
      <c r="Q87" s="722"/>
      <c r="R87" s="722"/>
      <c r="S87" s="722"/>
      <c r="T87" s="722"/>
      <c r="U87" s="722"/>
      <c r="V87" s="722"/>
      <c r="W87" s="722"/>
      <c r="X87" s="722"/>
      <c r="Y87" s="722"/>
      <c r="Z87" s="722"/>
      <c r="AA87" s="722"/>
      <c r="AB87" s="722"/>
      <c r="AC87" s="722"/>
      <c r="AD87" s="722"/>
      <c r="AE87" s="722"/>
      <c r="AF87" s="722"/>
      <c r="AG87" s="722"/>
      <c r="AH87" s="722"/>
      <c r="AI87" s="484"/>
      <c r="AJ87" s="690"/>
    </row>
    <row r="88" spans="1:36" ht="19.5" customHeight="1">
      <c r="A88" s="10"/>
      <c r="B88" s="386"/>
      <c r="C88" s="722"/>
      <c r="D88" s="722"/>
      <c r="E88" s="722"/>
      <c r="F88" s="722"/>
      <c r="G88" s="722"/>
      <c r="H88" s="722"/>
      <c r="I88" s="722"/>
      <c r="J88" s="722"/>
      <c r="K88" s="722"/>
      <c r="L88" s="722"/>
      <c r="M88" s="722"/>
      <c r="N88" s="722"/>
      <c r="O88" s="722"/>
      <c r="P88" s="722"/>
      <c r="Q88" s="722"/>
      <c r="R88" s="722"/>
      <c r="S88" s="722"/>
      <c r="T88" s="722"/>
      <c r="U88" s="722"/>
      <c r="V88" s="722"/>
      <c r="W88" s="722"/>
      <c r="X88" s="722"/>
      <c r="Y88" s="722"/>
      <c r="Z88" s="722"/>
      <c r="AA88" s="722"/>
      <c r="AB88" s="722"/>
      <c r="AC88" s="722"/>
      <c r="AD88" s="722"/>
      <c r="AE88" s="722"/>
      <c r="AF88" s="722"/>
      <c r="AG88" s="722"/>
      <c r="AH88" s="722"/>
      <c r="AI88" s="484"/>
      <c r="AJ88" s="690"/>
    </row>
    <row r="89" spans="1:36" ht="21.75" customHeight="1">
      <c r="A89" s="10"/>
      <c r="B89" s="566"/>
      <c r="C89" s="723"/>
      <c r="D89" s="723"/>
      <c r="E89" s="723"/>
      <c r="F89" s="723"/>
      <c r="G89" s="723"/>
      <c r="H89" s="723"/>
      <c r="I89" s="724"/>
      <c r="J89" s="724"/>
      <c r="K89" s="724"/>
      <c r="L89" s="724"/>
      <c r="M89" s="724"/>
      <c r="N89" s="724"/>
      <c r="O89" s="724"/>
      <c r="P89" s="724"/>
      <c r="Q89" s="724"/>
      <c r="R89" s="724"/>
      <c r="S89" s="724"/>
      <c r="T89" s="724"/>
      <c r="U89" s="724"/>
      <c r="V89" s="724"/>
      <c r="W89" s="724"/>
      <c r="X89" s="724"/>
      <c r="Y89" s="724"/>
      <c r="Z89" s="724"/>
      <c r="AA89" s="724"/>
      <c r="AB89" s="724"/>
      <c r="AC89" s="724"/>
      <c r="AD89" s="724"/>
      <c r="AE89" s="724"/>
      <c r="AF89" s="724"/>
      <c r="AG89" s="724"/>
      <c r="AH89" s="724"/>
      <c r="AI89" s="485"/>
      <c r="AJ89" s="690"/>
    </row>
    <row r="90" spans="1:36" ht="19.5" customHeight="1">
      <c r="A90" s="10"/>
      <c r="B90" s="394"/>
      <c r="C90" s="316"/>
      <c r="D90" s="694" t="str">
        <f>IF(Abfrage!$B$2&gt;0,Sprache!B171,IF(Abfrage!$B$3&gt;0,Sprache!C171,IF(Abfrage!$B$4&gt;0,Sprache!D171,IF(Abfrage!$B$5&gt;0,Sprache!E171,0))))</f>
        <v>Anlagen</v>
      </c>
      <c r="E90" s="694"/>
      <c r="F90" s="694"/>
      <c r="G90" s="694"/>
      <c r="H90" s="695"/>
      <c r="I90" s="322" t="s">
        <v>753</v>
      </c>
      <c r="J90" s="319"/>
      <c r="K90" s="319"/>
      <c r="L90" s="319"/>
      <c r="M90" s="720"/>
      <c r="N90" s="600"/>
      <c r="O90" s="601"/>
      <c r="P90" s="322" t="s">
        <v>754</v>
      </c>
      <c r="Q90" s="319"/>
      <c r="R90" s="319"/>
      <c r="S90" s="319"/>
      <c r="T90" s="600"/>
      <c r="U90" s="600"/>
      <c r="V90" s="601"/>
      <c r="W90" s="322" t="s">
        <v>755</v>
      </c>
      <c r="X90" s="319"/>
      <c r="Y90" s="319"/>
      <c r="Z90" s="319"/>
      <c r="AA90" s="600" t="s">
        <v>134</v>
      </c>
      <c r="AB90" s="600"/>
      <c r="AC90" s="601"/>
      <c r="AD90" s="611"/>
      <c r="AE90" s="612"/>
      <c r="AF90" s="612"/>
      <c r="AG90" s="612"/>
      <c r="AH90" s="612"/>
      <c r="AI90" s="613"/>
      <c r="AJ90" s="690"/>
    </row>
    <row r="91" spans="1:36" ht="19.5" customHeight="1">
      <c r="A91" s="10"/>
      <c r="B91" s="331"/>
      <c r="C91" s="342"/>
      <c r="D91" s="692" t="str">
        <f>IF(Abfrage!$B$2&gt;0,Sprache!B172,IF(Abfrage!$B$3&gt;0,Sprache!C172,IF(Abfrage!$B$4&gt;0,Sprache!D172,IF(Abfrage!$B$5&gt;0,Sprache!E172,0))))</f>
        <v>keine Anlagen</v>
      </c>
      <c r="E91" s="692"/>
      <c r="F91" s="692"/>
      <c r="G91" s="692"/>
      <c r="H91" s="693"/>
      <c r="I91" s="696"/>
      <c r="J91" s="609"/>
      <c r="K91" s="609"/>
      <c r="L91" s="609"/>
      <c r="M91" s="609"/>
      <c r="N91" s="609"/>
      <c r="O91" s="610"/>
      <c r="P91" s="623"/>
      <c r="Q91" s="609"/>
      <c r="R91" s="609"/>
      <c r="S91" s="609"/>
      <c r="T91" s="609"/>
      <c r="U91" s="609"/>
      <c r="V91" s="610"/>
      <c r="W91" s="623"/>
      <c r="X91" s="609"/>
      <c r="Y91" s="609"/>
      <c r="Z91" s="609"/>
      <c r="AA91" s="609"/>
      <c r="AB91" s="609"/>
      <c r="AC91" s="610"/>
      <c r="AD91" s="611"/>
      <c r="AE91" s="612"/>
      <c r="AF91" s="612"/>
      <c r="AG91" s="612"/>
      <c r="AH91" s="612"/>
      <c r="AI91" s="613"/>
      <c r="AJ91" s="690"/>
    </row>
    <row r="93" ht="12.75">
      <c r="H93" s="3"/>
    </row>
    <row r="151" spans="24:38" ht="12.75">
      <c r="X151" s="660" t="s">
        <v>135</v>
      </c>
      <c r="Y151" s="661"/>
      <c r="Z151" s="661"/>
      <c r="AA151" s="661"/>
      <c r="AB151" s="661"/>
      <c r="AC151" s="661"/>
      <c r="AD151" s="661"/>
      <c r="AE151" s="661"/>
      <c r="AF151" s="661"/>
      <c r="AG151" s="661"/>
      <c r="AH151" s="661"/>
      <c r="AI151" s="661"/>
      <c r="AJ151" s="661"/>
      <c r="AK151" s="661"/>
      <c r="AL151" s="662"/>
    </row>
    <row r="152" spans="24:38" ht="12.75">
      <c r="X152" s="592"/>
      <c r="Y152" s="575"/>
      <c r="Z152" s="575"/>
      <c r="AA152" s="575"/>
      <c r="AB152" s="575"/>
      <c r="AC152" s="575"/>
      <c r="AD152" s="575"/>
      <c r="AE152" s="575"/>
      <c r="AF152" s="575"/>
      <c r="AG152" s="575"/>
      <c r="AH152" s="575"/>
      <c r="AI152" s="575"/>
      <c r="AJ152" s="575"/>
      <c r="AK152" s="575"/>
      <c r="AL152" s="593"/>
    </row>
    <row r="153" spans="24:38" ht="12.75">
      <c r="X153" s="594"/>
      <c r="Y153" s="595"/>
      <c r="Z153" s="595"/>
      <c r="AA153" s="595"/>
      <c r="AB153" s="595"/>
      <c r="AC153" s="595"/>
      <c r="AD153" s="595"/>
      <c r="AE153" s="595"/>
      <c r="AF153" s="595"/>
      <c r="AG153" s="595"/>
      <c r="AH153" s="595"/>
      <c r="AI153" s="595"/>
      <c r="AJ153" s="595"/>
      <c r="AK153" s="595"/>
      <c r="AL153" s="596"/>
    </row>
  </sheetData>
  <sheetProtection password="C402" objects="1"/>
  <mergeCells count="180">
    <mergeCell ref="C80:J80"/>
    <mergeCell ref="M82:S82"/>
    <mergeCell ref="M80:V80"/>
    <mergeCell ref="C37:O37"/>
    <mergeCell ref="B66:F66"/>
    <mergeCell ref="B67:F67"/>
    <mergeCell ref="C73:Q73"/>
    <mergeCell ref="G70:H70"/>
    <mergeCell ref="G71:H71"/>
    <mergeCell ref="O43:P44"/>
    <mergeCell ref="V43:X44"/>
    <mergeCell ref="Z56:AI56"/>
    <mergeCell ref="Z55:AI55"/>
    <mergeCell ref="Z67:AA67"/>
    <mergeCell ref="X66:AA66"/>
    <mergeCell ref="AE63:AF63"/>
    <mergeCell ref="AF43:AG44"/>
    <mergeCell ref="AD49:AG49"/>
    <mergeCell ref="AB77:AC78"/>
    <mergeCell ref="AD71:AH71"/>
    <mergeCell ref="AD69:AH69"/>
    <mergeCell ref="J71:K71"/>
    <mergeCell ref="J70:K70"/>
    <mergeCell ref="AD70:AH70"/>
    <mergeCell ref="G69:K69"/>
    <mergeCell ref="U42:Y42"/>
    <mergeCell ref="Q36:T36"/>
    <mergeCell ref="K34:N34"/>
    <mergeCell ref="X79:AI79"/>
    <mergeCell ref="AA75:AC76"/>
    <mergeCell ref="AB73:AC74"/>
    <mergeCell ref="O45:P46"/>
    <mergeCell ref="V45:X46"/>
    <mergeCell ref="AD54:AG54"/>
    <mergeCell ref="Y54:AA54"/>
    <mergeCell ref="Q33:T33"/>
    <mergeCell ref="D32:H32"/>
    <mergeCell ref="B31:H31"/>
    <mergeCell ref="N28:T28"/>
    <mergeCell ref="E5:Y5"/>
    <mergeCell ref="Z5:AC5"/>
    <mergeCell ref="C15:R15"/>
    <mergeCell ref="C11:G11"/>
    <mergeCell ref="I13:R13"/>
    <mergeCell ref="Z6:AD6"/>
    <mergeCell ref="Q6:Y6"/>
    <mergeCell ref="E6:M6"/>
    <mergeCell ref="M10:P10"/>
    <mergeCell ref="E4:M4"/>
    <mergeCell ref="S1:X1"/>
    <mergeCell ref="B1:R1"/>
    <mergeCell ref="P16:R16"/>
    <mergeCell ref="C16:J16"/>
    <mergeCell ref="I11:L11"/>
    <mergeCell ref="U14:AG14"/>
    <mergeCell ref="S13:T13"/>
    <mergeCell ref="AB10:AE10"/>
    <mergeCell ref="AD5:AI5"/>
    <mergeCell ref="AD4:AI4"/>
    <mergeCell ref="Z4:AC4"/>
    <mergeCell ref="X4:Y4"/>
    <mergeCell ref="S4:U4"/>
    <mergeCell ref="AE6:AI6"/>
    <mergeCell ref="M9:U9"/>
    <mergeCell ref="G7:U7"/>
    <mergeCell ref="Y7:AI7"/>
    <mergeCell ref="AF8:AI8"/>
    <mergeCell ref="AB8:AE8"/>
    <mergeCell ref="AB9:AE9"/>
    <mergeCell ref="AF9:AI9"/>
    <mergeCell ref="AL38:AQ38"/>
    <mergeCell ref="AJ30:AJ45"/>
    <mergeCell ref="U31:AH31"/>
    <mergeCell ref="I31:T31"/>
    <mergeCell ref="S39:U41"/>
    <mergeCell ref="Q35:T35"/>
    <mergeCell ref="K36:N36"/>
    <mergeCell ref="AD37:AI38"/>
    <mergeCell ref="AF45:AG46"/>
    <mergeCell ref="AE42:AH42"/>
    <mergeCell ref="E63:F63"/>
    <mergeCell ref="K63:L63"/>
    <mergeCell ref="C65:I65"/>
    <mergeCell ref="C68:I68"/>
    <mergeCell ref="J67:K67"/>
    <mergeCell ref="I64:O64"/>
    <mergeCell ref="M68:AI68"/>
    <mergeCell ref="B70:F70"/>
    <mergeCell ref="B71:F71"/>
    <mergeCell ref="AC11:AI12"/>
    <mergeCell ref="AF10:AI10"/>
    <mergeCell ref="I12:R12"/>
    <mergeCell ref="E33:H34"/>
    <mergeCell ref="Q34:T34"/>
    <mergeCell ref="C30:O30"/>
    <mergeCell ref="N32:T32"/>
    <mergeCell ref="K33:N33"/>
    <mergeCell ref="M90:O90"/>
    <mergeCell ref="T90:V90"/>
    <mergeCell ref="X81:AI81"/>
    <mergeCell ref="C81:J81"/>
    <mergeCell ref="C87:AH89"/>
    <mergeCell ref="C86:L86"/>
    <mergeCell ref="X84:AI84"/>
    <mergeCell ref="T85:W85"/>
    <mergeCell ref="M84:S84"/>
    <mergeCell ref="M85:S85"/>
    <mergeCell ref="L19:N19"/>
    <mergeCell ref="P19:R19"/>
    <mergeCell ref="U19:AG19"/>
    <mergeCell ref="P17:R17"/>
    <mergeCell ref="U17:AG17"/>
    <mergeCell ref="L17:N17"/>
    <mergeCell ref="U20:AG20"/>
    <mergeCell ref="U21:AG21"/>
    <mergeCell ref="K14:T14"/>
    <mergeCell ref="AD13:AF13"/>
    <mergeCell ref="X13:Y13"/>
    <mergeCell ref="C17:K17"/>
    <mergeCell ref="U16:AG16"/>
    <mergeCell ref="L16:N16"/>
    <mergeCell ref="C18:K18"/>
    <mergeCell ref="C19:K19"/>
    <mergeCell ref="AJ79:AJ91"/>
    <mergeCell ref="M83:V83"/>
    <mergeCell ref="C84:J84"/>
    <mergeCell ref="C85:J85"/>
    <mergeCell ref="D91:H91"/>
    <mergeCell ref="D90:H90"/>
    <mergeCell ref="AD90:AI90"/>
    <mergeCell ref="I91:O91"/>
    <mergeCell ref="C83:J83"/>
    <mergeCell ref="P91:V91"/>
    <mergeCell ref="W91:AC91"/>
    <mergeCell ref="AD91:AI91"/>
    <mergeCell ref="X82:AI82"/>
    <mergeCell ref="X80:AI80"/>
    <mergeCell ref="AA90:AC90"/>
    <mergeCell ref="X83:AI83"/>
    <mergeCell ref="X85:AI85"/>
    <mergeCell ref="N86:AI86"/>
    <mergeCell ref="M81:T81"/>
    <mergeCell ref="T84:W84"/>
    <mergeCell ref="F42:F46"/>
    <mergeCell ref="H40:J41"/>
    <mergeCell ref="B40:D41"/>
    <mergeCell ref="H46:J46"/>
    <mergeCell ref="E39:G40"/>
    <mergeCell ref="B39:D39"/>
    <mergeCell ref="H39:J39"/>
    <mergeCell ref="M54:N54"/>
    <mergeCell ref="N42:Q42"/>
    <mergeCell ref="E35:H36"/>
    <mergeCell ref="E60:F60"/>
    <mergeCell ref="F54:I54"/>
    <mergeCell ref="G56:K56"/>
    <mergeCell ref="F49:I49"/>
    <mergeCell ref="C59:I59"/>
    <mergeCell ref="D57:K57"/>
    <mergeCell ref="B46:D46"/>
    <mergeCell ref="I61:O61"/>
    <mergeCell ref="W34:Z35"/>
    <mergeCell ref="K35:N35"/>
    <mergeCell ref="C38:AC38"/>
    <mergeCell ref="Y39:AA41"/>
    <mergeCell ref="AB39:AD41"/>
    <mergeCell ref="X37:AC37"/>
    <mergeCell ref="G60:H60"/>
    <mergeCell ref="F58:K58"/>
    <mergeCell ref="K39:M41"/>
    <mergeCell ref="X151:AL151"/>
    <mergeCell ref="U28:AA28"/>
    <mergeCell ref="U32:Y32"/>
    <mergeCell ref="AC32:AG32"/>
    <mergeCell ref="B29:AI29"/>
    <mergeCell ref="C28:E28"/>
    <mergeCell ref="J28:L28"/>
    <mergeCell ref="AD33:AI34"/>
    <mergeCell ref="AD35:AI36"/>
    <mergeCell ref="Z32:AB32"/>
  </mergeCells>
  <dataValidations count="2">
    <dataValidation type="list" allowBlank="1" showInputMessage="1" showErrorMessage="1" sqref="X80:AI83">
      <formula1>LackeDrop</formula1>
    </dataValidation>
    <dataValidation errorStyle="warning" type="whole" operator="lessThan" allowBlank="1" showErrorMessage="1" errorTitle="Maximale Höhe / Breite 600 mm !!" error="ACHTUNG ,&#10;wenn Höhe bzw. Breite größer 600 mm,&#10;muß die Schnellkalkulation über TA / AV laufen, da wegen der Übergröße Stabilisationsmaßnahmen erforderlich werden können !!" sqref="L16:N16 P16:R16">
      <formula1>601</formula1>
    </dataValidation>
  </dataValidations>
  <printOptions horizontalCentered="1"/>
  <pageMargins left="0.1968503937007874" right="0" top="0.3937007874015748" bottom="0" header="0.5118110236220472" footer="0.5118110236220472"/>
  <pageSetup horizontalDpi="300" verticalDpi="300" orientation="portrait" paperSize="9" scale="94" r:id="rId4"/>
  <rowBreaks count="1" manualBreakCount="1">
    <brk id="46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J136"/>
  <sheetViews>
    <sheetView workbookViewId="0" topLeftCell="A1">
      <selection activeCell="E4" sqref="E4:M4"/>
    </sheetView>
  </sheetViews>
  <sheetFormatPr defaultColWidth="11.421875" defaultRowHeight="12.75"/>
  <cols>
    <col min="1" max="3" width="15.7109375" style="0" customWidth="1"/>
    <col min="4" max="4" width="11.28125" style="0" customWidth="1"/>
    <col min="5" max="6" width="10.7109375" style="0" customWidth="1"/>
    <col min="8" max="8" width="1.7109375" style="0" customWidth="1"/>
    <col min="10" max="10" width="23.140625" style="0" bestFit="1" customWidth="1"/>
  </cols>
  <sheetData>
    <row r="1" spans="1:7" ht="36" customHeight="1">
      <c r="A1" s="831" t="s">
        <v>1045</v>
      </c>
      <c r="B1" s="831"/>
      <c r="C1" s="45" t="s">
        <v>1037</v>
      </c>
      <c r="D1" s="835">
        <f>Checkliste!AD4</f>
        <v>0</v>
      </c>
      <c r="E1" s="836"/>
      <c r="F1" s="46"/>
      <c r="G1" s="46"/>
    </row>
    <row r="2" spans="1:7" ht="12.75">
      <c r="A2" s="832" t="s">
        <v>1038</v>
      </c>
      <c r="B2" s="832"/>
      <c r="C2" s="832"/>
      <c r="D2" s="832"/>
      <c r="E2" s="1"/>
      <c r="F2" s="1"/>
      <c r="G2" s="47" t="s">
        <v>155</v>
      </c>
    </row>
    <row r="3" spans="1:7" ht="18" customHeight="1">
      <c r="A3" s="832"/>
      <c r="B3" s="832"/>
      <c r="C3" s="832"/>
      <c r="D3" s="832"/>
      <c r="E3" s="1"/>
      <c r="F3" s="1"/>
      <c r="G3" s="47" t="s">
        <v>1039</v>
      </c>
    </row>
    <row r="4" spans="1:7" ht="15">
      <c r="A4" s="278">
        <f>Checkliste!T90</f>
        <v>0</v>
      </c>
      <c r="B4" s="54" t="s">
        <v>1040</v>
      </c>
      <c r="C4" s="110">
        <f>form!Q18</f>
        <v>25.920000000000005</v>
      </c>
      <c r="D4" s="55" t="s">
        <v>1041</v>
      </c>
      <c r="E4" s="56" t="s">
        <v>877</v>
      </c>
      <c r="F4" s="56" t="s">
        <v>878</v>
      </c>
      <c r="G4" s="57" t="s">
        <v>1042</v>
      </c>
    </row>
    <row r="5" spans="1:7" ht="15.75">
      <c r="A5" s="58">
        <f ca="1">TODAY()</f>
        <v>39517</v>
      </c>
      <c r="B5" s="54" t="s">
        <v>1043</v>
      </c>
      <c r="C5" s="110">
        <f>form!$P$19</f>
        <v>0</v>
      </c>
      <c r="D5" s="55" t="s">
        <v>1041</v>
      </c>
      <c r="E5" s="102">
        <f>Abfrage!$C$32</f>
        <v>0</v>
      </c>
      <c r="F5" s="102">
        <f>Abfrage!$C$33</f>
        <v>0</v>
      </c>
      <c r="G5" s="59">
        <f>IF(Abfrage!$B$45&gt;0,120,IF(Abfrage!$B$50&gt;0,200,IF(Abfrage!$B$56&gt;0,175,IF(Abfrage!$B$57&gt;0,175,IF(Abfrage!$B$62&gt;0,255,IF(Abfrage!$B$63&gt;0,255,0))))))</f>
        <v>0</v>
      </c>
    </row>
    <row r="6" spans="1:7" s="43" customFormat="1" ht="10.5" customHeight="1">
      <c r="A6" s="50"/>
      <c r="B6" s="40"/>
      <c r="C6" s="51"/>
      <c r="D6" s="52"/>
      <c r="E6" s="45"/>
      <c r="F6" s="45"/>
      <c r="G6" s="53"/>
    </row>
    <row r="7" spans="1:7" ht="15" customHeight="1">
      <c r="A7" s="48" t="s">
        <v>1044</v>
      </c>
      <c r="B7" s="833" t="s">
        <v>911</v>
      </c>
      <c r="C7" s="833"/>
      <c r="D7" s="44" t="s">
        <v>1046</v>
      </c>
      <c r="E7" s="44" t="s">
        <v>912</v>
      </c>
      <c r="F7" s="44"/>
      <c r="G7" s="49"/>
    </row>
    <row r="8" spans="1:5" ht="13.5" customHeight="1">
      <c r="A8" s="103">
        <f>IF(form!P3&gt;0,'DB'!A25,0)</f>
        <v>0</v>
      </c>
      <c r="B8" s="834">
        <f>VLOOKUP($A$7:$A$207,'DB'!$A$4:$E$200,2,FALSE)</f>
        <v>0</v>
      </c>
      <c r="C8" s="834"/>
      <c r="D8" s="60">
        <f>IF(form!P3&gt;0,form!O3,0)</f>
        <v>0</v>
      </c>
      <c r="E8" s="33">
        <f>VLOOKUP($A$7:$A$207,'DB'!$A$4:$E$200,3,FALSE)</f>
        <v>0</v>
      </c>
    </row>
    <row r="9" spans="1:5" ht="13.5" customHeight="1">
      <c r="A9" s="103">
        <f>IF(form!P4&gt;0,'DB'!A26,0)</f>
        <v>0</v>
      </c>
      <c r="B9" s="834">
        <f>VLOOKUP($A$7:$A$207,'DB'!$A$4:$E$200,2,FALSE)</f>
        <v>0</v>
      </c>
      <c r="C9" s="834"/>
      <c r="D9" s="60">
        <f>IF(form!P4&gt;0,form!O4,0)</f>
        <v>0</v>
      </c>
      <c r="E9" s="33">
        <f>VLOOKUP($A$7:$A$207,'DB'!$A$4:$E$200,3,FALSE)</f>
        <v>0</v>
      </c>
    </row>
    <row r="10" spans="1:5" ht="13.5" customHeight="1">
      <c r="A10" s="103">
        <f>IF(form!P5&gt;0,'DB'!A27,0)</f>
        <v>0</v>
      </c>
      <c r="B10" s="834">
        <f>VLOOKUP($A$7:$A$207,'DB'!$A$4:$E$200,2,FALSE)</f>
        <v>0</v>
      </c>
      <c r="C10" s="834"/>
      <c r="D10" s="60">
        <f>IF(form!P5&gt;0,form!O5,0)</f>
        <v>0</v>
      </c>
      <c r="E10" s="33">
        <f>VLOOKUP($A$7:$A$207,'DB'!$A$4:$E$200,3,FALSE)</f>
        <v>0</v>
      </c>
    </row>
    <row r="11" spans="1:5" ht="13.5" customHeight="1">
      <c r="A11" s="103">
        <f>IF(form!P6&gt;0,'DB'!A28,0)</f>
        <v>0</v>
      </c>
      <c r="B11" s="834">
        <f>VLOOKUP($A$7:$A$207,'DB'!$A$4:$E$200,2,FALSE)</f>
        <v>0</v>
      </c>
      <c r="C11" s="834"/>
      <c r="D11" s="60">
        <f>IF(form!P6&gt;0,form!O6,0)</f>
        <v>0</v>
      </c>
      <c r="E11" s="33">
        <f>VLOOKUP($A$7:$A$207,'DB'!$A$4:$E$200,3,FALSE)</f>
        <v>0</v>
      </c>
    </row>
    <row r="12" spans="1:5" ht="13.5" customHeight="1">
      <c r="A12" s="103">
        <f>IF(form!P7&gt;0,'DB'!A29,0)</f>
        <v>0</v>
      </c>
      <c r="B12" s="834">
        <f>VLOOKUP($A$7:$A$207,'DB'!$A$4:$E$200,2,FALSE)</f>
        <v>0</v>
      </c>
      <c r="C12" s="834"/>
      <c r="D12" s="60">
        <f>IF(form!P7&gt;0,form!O7,0)</f>
        <v>0</v>
      </c>
      <c r="E12" s="33">
        <f>VLOOKUP($A$7:$A$207,'DB'!$A$4:$E$200,3,FALSE)</f>
        <v>0</v>
      </c>
    </row>
    <row r="13" spans="1:5" ht="13.5" customHeight="1">
      <c r="A13" s="103">
        <f>IF(form!P8&gt;0,'DB'!A30,0)</f>
        <v>0</v>
      </c>
      <c r="B13" s="834">
        <f>VLOOKUP($A$7:$A$207,'DB'!$A$4:$E$200,2,FALSE)</f>
        <v>0</v>
      </c>
      <c r="C13" s="834"/>
      <c r="D13" s="60">
        <f>IF(form!P8&gt;0,form!O8,0)</f>
        <v>0</v>
      </c>
      <c r="E13" s="33">
        <f>VLOOKUP($A$7:$A$207,'DB'!$A$4:$E$200,3,FALSE)</f>
        <v>0</v>
      </c>
    </row>
    <row r="14" spans="1:10" ht="13.5" customHeight="1">
      <c r="A14" s="567">
        <f>IF(AND(form!P9&gt;0,Abfrage!$B$141&gt;0),'DB'!A119,0)</f>
        <v>0</v>
      </c>
      <c r="B14" s="840">
        <f>VLOOKUP($A$7:$A$207,'DB'!$A$4:$E$200,2,FALSE)</f>
        <v>0</v>
      </c>
      <c r="C14" s="840"/>
      <c r="D14" s="568">
        <f>IF(A14&gt;0,form!N9,0)</f>
        <v>0</v>
      </c>
      <c r="E14" s="290">
        <f>VLOOKUP($A$7:$A$207,'DB'!$A$4:$E$200,3,FALSE)</f>
        <v>0</v>
      </c>
      <c r="J14" s="839">
        <v>7016</v>
      </c>
    </row>
    <row r="15" spans="1:10" ht="13.5" customHeight="1">
      <c r="A15" s="567">
        <f>IF(AND(form!P10&gt;0,Abfrage!$B$141&gt;0),'DB'!A120,0)</f>
        <v>0</v>
      </c>
      <c r="B15" s="840">
        <f>VLOOKUP($A$7:$A$207,'DB'!$A$4:$E$200,2,FALSE)</f>
        <v>0</v>
      </c>
      <c r="C15" s="840"/>
      <c r="D15" s="568">
        <f>IF(A15&gt;0,form!N10,0)</f>
        <v>0</v>
      </c>
      <c r="E15" s="290">
        <f>VLOOKUP($A$7:$A$207,'DB'!$A$4:$E$200,3,FALSE)</f>
        <v>0</v>
      </c>
      <c r="J15" s="839"/>
    </row>
    <row r="16" spans="1:10" ht="13.5" customHeight="1">
      <c r="A16" s="567">
        <f>IF(AND(form!P11&gt;0,Abfrage!$B$141&gt;0),'DB'!A121,0)</f>
        <v>0</v>
      </c>
      <c r="B16" s="840">
        <f>VLOOKUP($A$7:$A$207,'DB'!$A$4:$E$200,2,FALSE)</f>
        <v>0</v>
      </c>
      <c r="C16" s="840"/>
      <c r="D16" s="568">
        <f>IF(A16&gt;0,form!N11,0)</f>
        <v>0</v>
      </c>
      <c r="E16" s="290">
        <f>VLOOKUP($A$7:$A$207,'DB'!$A$4:$E$200,3,FALSE)</f>
        <v>0</v>
      </c>
      <c r="J16" s="839"/>
    </row>
    <row r="17" spans="1:10" ht="13.5" customHeight="1">
      <c r="A17" s="567">
        <f>IF(AND(form!P12&gt;0,Abfrage!$B$141&gt;0),'DB'!A122,0)</f>
        <v>0</v>
      </c>
      <c r="B17" s="840">
        <f>VLOOKUP($A$7:$A$207,'DB'!$A$4:$E$200,2,FALSE)</f>
        <v>0</v>
      </c>
      <c r="C17" s="840"/>
      <c r="D17" s="568">
        <f>IF(A17&gt;0,form!N12,0)</f>
        <v>0</v>
      </c>
      <c r="E17" s="290">
        <f>VLOOKUP($A$7:$A$207,'DB'!$A$4:$E$200,3,FALSE)</f>
        <v>0</v>
      </c>
      <c r="J17" s="839"/>
    </row>
    <row r="18" spans="1:10" ht="13.5" customHeight="1">
      <c r="A18" s="567">
        <f>IF(AND(form!P13&gt;0,Abfrage!$B$141&gt;0),'DB'!A123,0)</f>
        <v>0</v>
      </c>
      <c r="B18" s="840">
        <f>VLOOKUP($A$7:$A$207,'DB'!$A$4:$E$200,2,FALSE)</f>
        <v>0</v>
      </c>
      <c r="C18" s="840"/>
      <c r="D18" s="568">
        <f>IF(A18&gt;0,form!N13,0)</f>
        <v>0</v>
      </c>
      <c r="E18" s="290">
        <f>VLOOKUP($A$7:$A$207,'DB'!$A$4:$E$200,3,FALSE)</f>
        <v>0</v>
      </c>
      <c r="J18" s="839"/>
    </row>
    <row r="19" spans="1:10" ht="13.5" customHeight="1">
      <c r="A19" s="567">
        <f>IF(AND(form!P14&gt;0,Abfrage!$B$141&gt;0),'DB'!A124,0)</f>
        <v>0</v>
      </c>
      <c r="B19" s="840">
        <f>VLOOKUP($A$7:$A$207,'DB'!$A$4:$E$200,2,FALSE)</f>
        <v>0</v>
      </c>
      <c r="C19" s="840"/>
      <c r="D19" s="568">
        <f>IF(A19&gt;0,form!N14,0)</f>
        <v>0</v>
      </c>
      <c r="E19" s="290">
        <f>VLOOKUP($A$7:$A$207,'DB'!$A$4:$E$200,3,FALSE)</f>
        <v>0</v>
      </c>
      <c r="J19" s="839"/>
    </row>
    <row r="20" spans="1:10" ht="13.5" customHeight="1">
      <c r="A20" s="567">
        <f>IF(AND(form!P15&gt;0,Abfrage!$B$141&gt;0),'DB'!A125,0)</f>
        <v>0</v>
      </c>
      <c r="B20" s="840">
        <f>VLOOKUP($A$7:$A$207,'DB'!$A$4:$E$200,2,FALSE)</f>
        <v>0</v>
      </c>
      <c r="C20" s="840"/>
      <c r="D20" s="568">
        <f>IF(A20&gt;0,form!N15,0)</f>
        <v>0</v>
      </c>
      <c r="E20" s="290">
        <f>VLOOKUP($A$7:$A$207,'DB'!$A$4:$E$200,3,FALSE)</f>
        <v>0</v>
      </c>
      <c r="J20" s="839"/>
    </row>
    <row r="21" spans="1:10" ht="13.5" customHeight="1">
      <c r="A21" s="569">
        <f>IF(AND(form!P9&gt;0,Abfrage!$B$141&lt;1),'DB'!A31,0)</f>
        <v>0</v>
      </c>
      <c r="B21" s="837">
        <f>VLOOKUP($A$7:$A$207,'DB'!$A$4:$E$200,2,FALSE)</f>
        <v>0</v>
      </c>
      <c r="C21" s="837"/>
      <c r="D21" s="570">
        <f>IF(A21&gt;0,form!N9,0)</f>
        <v>0</v>
      </c>
      <c r="E21" s="571">
        <f>VLOOKUP($A$7:$A$207,'DB'!$A$4:$E$200,3,FALSE)</f>
        <v>0</v>
      </c>
      <c r="J21" s="838" t="s">
        <v>620</v>
      </c>
    </row>
    <row r="22" spans="1:10" ht="13.5" customHeight="1">
      <c r="A22" s="569">
        <f>IF(AND(form!P10&gt;0,Abfrage!$B$141&lt;1),'DB'!A32,0)</f>
        <v>0</v>
      </c>
      <c r="B22" s="837">
        <f>VLOOKUP($A$7:$A$207,'DB'!$A$4:$E$200,2,FALSE)</f>
        <v>0</v>
      </c>
      <c r="C22" s="837"/>
      <c r="D22" s="570">
        <f>IF(A22&gt;0,form!N10,0)</f>
        <v>0</v>
      </c>
      <c r="E22" s="571">
        <f>VLOOKUP($A$7:$A$207,'DB'!$A$4:$E$200,3,FALSE)</f>
        <v>0</v>
      </c>
      <c r="J22" s="838"/>
    </row>
    <row r="23" spans="1:10" ht="13.5" customHeight="1">
      <c r="A23" s="569">
        <f>IF(AND(form!P11&gt;0,Abfrage!$B$141&lt;1),'DB'!A33,0)</f>
        <v>0</v>
      </c>
      <c r="B23" s="837">
        <f>VLOOKUP($A$7:$A$207,'DB'!$A$4:$E$200,2,FALSE)</f>
        <v>0</v>
      </c>
      <c r="C23" s="837"/>
      <c r="D23" s="570">
        <f>IF(A23&gt;0,form!N11,0)</f>
        <v>0</v>
      </c>
      <c r="E23" s="571">
        <f>VLOOKUP($A$7:$A$207,'DB'!$A$4:$E$200,3,FALSE)</f>
        <v>0</v>
      </c>
      <c r="J23" s="838"/>
    </row>
    <row r="24" spans="1:10" ht="13.5" customHeight="1">
      <c r="A24" s="569">
        <f>IF(AND(form!P12&gt;0,Abfrage!$B$141&lt;1),'DB'!A34,0)</f>
        <v>0</v>
      </c>
      <c r="B24" s="837">
        <f>VLOOKUP($A$7:$A$207,'DB'!$A$4:$E$200,2,FALSE)</f>
        <v>0</v>
      </c>
      <c r="C24" s="837"/>
      <c r="D24" s="570">
        <f>IF(A24&gt;0,form!N12,0)</f>
        <v>0</v>
      </c>
      <c r="E24" s="571">
        <f>VLOOKUP($A$7:$A$207,'DB'!$A$4:$E$200,3,FALSE)</f>
        <v>0</v>
      </c>
      <c r="J24" s="838"/>
    </row>
    <row r="25" spans="1:10" ht="13.5" customHeight="1">
      <c r="A25" s="569">
        <f>IF(AND(form!P13&gt;0,Abfrage!$B$141&lt;1),'DB'!A35,0)</f>
        <v>0</v>
      </c>
      <c r="B25" s="837">
        <f>VLOOKUP($A$7:$A$207,'DB'!$A$4:$E$200,2,FALSE)</f>
        <v>0</v>
      </c>
      <c r="C25" s="837"/>
      <c r="D25" s="570">
        <f>IF(A25&gt;0,form!N13,0)</f>
        <v>0</v>
      </c>
      <c r="E25" s="571">
        <f>VLOOKUP($A$7:$A$207,'DB'!$A$4:$E$200,3,FALSE)</f>
        <v>0</v>
      </c>
      <c r="J25" s="838"/>
    </row>
    <row r="26" spans="1:10" ht="13.5" customHeight="1">
      <c r="A26" s="569">
        <f>IF(AND(form!P14&gt;0,Abfrage!$B$141&lt;1),'DB'!A36,0)</f>
        <v>0</v>
      </c>
      <c r="B26" s="837">
        <f>VLOOKUP($A$7:$A$207,'DB'!$A$4:$E$200,2,FALSE)</f>
        <v>0</v>
      </c>
      <c r="C26" s="837"/>
      <c r="D26" s="570">
        <f>IF(A26&gt;0,form!N14,0)</f>
        <v>0</v>
      </c>
      <c r="E26" s="571">
        <f>VLOOKUP($A$7:$A$207,'DB'!$A$4:$E$200,3,FALSE)</f>
        <v>0</v>
      </c>
      <c r="J26" s="838"/>
    </row>
    <row r="27" spans="1:10" ht="13.5" customHeight="1">
      <c r="A27" s="569">
        <f>IF(AND(form!P15&gt;0,Abfrage!$B$141&lt;1),'DB'!A37,0)</f>
        <v>0</v>
      </c>
      <c r="B27" s="837">
        <f>VLOOKUP($A$7:$A$207,'DB'!$A$4:$E$200,2,FALSE)</f>
        <v>0</v>
      </c>
      <c r="C27" s="837"/>
      <c r="D27" s="570">
        <f>IF(A27&gt;0,form!N15,0)</f>
        <v>0</v>
      </c>
      <c r="E27" s="571">
        <f>VLOOKUP($A$7:$A$207,'DB'!$A$4:$E$200,3,FALSE)</f>
        <v>0</v>
      </c>
      <c r="J27" s="838"/>
    </row>
    <row r="28" spans="1:5" ht="13.5" customHeight="1">
      <c r="A28" s="103">
        <f>IF(form!N20&gt;0,'DB'!A38,0)</f>
        <v>0</v>
      </c>
      <c r="B28" s="834">
        <f>VLOOKUP($A$7:$A$207,'DB'!$A$4:$E$200,2,FALSE)</f>
        <v>0</v>
      </c>
      <c r="C28" s="834"/>
      <c r="D28" s="60">
        <f>IF(form!N20&gt;0,form!N20,0)</f>
        <v>0</v>
      </c>
      <c r="E28" s="33">
        <f>VLOOKUP($A$7:$A$207,'DB'!$A$4:$E$200,3,FALSE)</f>
        <v>0</v>
      </c>
    </row>
    <row r="29" spans="1:5" ht="13.5" customHeight="1">
      <c r="A29" s="103">
        <f>IF(form!N21&gt;0,'DB'!A39,0)</f>
        <v>0</v>
      </c>
      <c r="B29" s="834">
        <f>VLOOKUP($A$7:$A$207,'DB'!$A$4:$E$200,2,FALSE)</f>
        <v>0</v>
      </c>
      <c r="C29" s="834"/>
      <c r="D29" s="60">
        <f>IF(form!N21&gt;0,form!N21,0)</f>
        <v>0</v>
      </c>
      <c r="E29" s="33">
        <f>VLOOKUP($A$7:$A$207,'DB'!$A$4:$E$200,3,FALSE)</f>
        <v>0</v>
      </c>
    </row>
    <row r="30" spans="1:5" ht="13.5" customHeight="1">
      <c r="A30" s="103">
        <f>IF(form!N22&gt;0,'DB'!A40,0)</f>
        <v>0</v>
      </c>
      <c r="B30" s="834">
        <f>VLOOKUP($A$7:$A$207,'DB'!$A$4:$E$200,2,FALSE)</f>
        <v>0</v>
      </c>
      <c r="C30" s="834"/>
      <c r="D30" s="60">
        <f>IF(form!N22&gt;0,form!N22,0)</f>
        <v>0</v>
      </c>
      <c r="E30" s="33">
        <f>VLOOKUP($A$7:$A$207,'DB'!$A$4:$E$200,3,FALSE)</f>
        <v>0</v>
      </c>
    </row>
    <row r="31" spans="1:5" ht="13.5" customHeight="1">
      <c r="A31" s="103">
        <f>IF(form!N23&gt;0,'DB'!A41,0)</f>
        <v>0</v>
      </c>
      <c r="B31" s="834">
        <f>VLOOKUP($A$7:$A$207,'DB'!$A$4:$E$200,2,FALSE)</f>
        <v>0</v>
      </c>
      <c r="C31" s="834"/>
      <c r="D31" s="60">
        <f>IF(form!N23&gt;0,form!N23,0)</f>
        <v>0</v>
      </c>
      <c r="E31" s="33">
        <f>VLOOKUP($A$7:$A$207,'DB'!$A$4:$E$200,3,FALSE)</f>
        <v>0</v>
      </c>
    </row>
    <row r="32" spans="1:5" ht="13.5" customHeight="1">
      <c r="A32" s="103">
        <f>IF(form!N24&gt;0,'DB'!A42,0)</f>
        <v>0</v>
      </c>
      <c r="B32" s="834">
        <f>VLOOKUP($A$7:$A$207,'DB'!$A$4:$E$200,2,FALSE)</f>
        <v>0</v>
      </c>
      <c r="C32" s="834"/>
      <c r="D32" s="60">
        <f>IF(form!N24&gt;0,form!N24,0)</f>
        <v>0</v>
      </c>
      <c r="E32" s="33">
        <f>VLOOKUP($A$7:$A$207,'DB'!$A$4:$E$200,3,FALSE)</f>
        <v>0</v>
      </c>
    </row>
    <row r="33" spans="1:5" ht="13.5" customHeight="1">
      <c r="A33" s="103">
        <f>IF(form!N25&gt;0,'DB'!A43,0)</f>
        <v>0</v>
      </c>
      <c r="B33" s="834">
        <f>VLOOKUP($A$7:$A$207,'DB'!$A$4:$E$200,2,FALSE)</f>
        <v>0</v>
      </c>
      <c r="C33" s="834"/>
      <c r="D33" s="60">
        <f>IF(form!N25&gt;0,form!N25,0)</f>
        <v>0</v>
      </c>
      <c r="E33" s="33">
        <f>VLOOKUP($A$7:$A$207,'DB'!$A$4:$E$200,3,FALSE)</f>
        <v>0</v>
      </c>
    </row>
    <row r="34" spans="1:5" ht="13.5" customHeight="1">
      <c r="A34" s="103">
        <f>IF(form!N15&gt;0,'DB'!A44,0)</f>
        <v>0</v>
      </c>
      <c r="B34" s="834">
        <f>VLOOKUP($A$7:$A$207,'DB'!$A$4:$E$200,2,FALSE)</f>
        <v>0</v>
      </c>
      <c r="C34" s="834"/>
      <c r="D34" s="60">
        <f>IF(form!N15&gt;0,form!N15*2,0)</f>
        <v>0</v>
      </c>
      <c r="E34" s="33">
        <f>VLOOKUP($A$7:$A$207,'DB'!$A$4:$E$200,3,FALSE)</f>
        <v>0</v>
      </c>
    </row>
    <row r="35" spans="1:5" ht="13.5" customHeight="1">
      <c r="A35" s="117">
        <f>IF(Abfrage!$C$149&gt;0,Abfrage!C149,Abfrage!B90)</f>
        <v>0</v>
      </c>
      <c r="B35" s="834">
        <f>IF(A35&gt;0,"Frontplatte",0)</f>
        <v>0</v>
      </c>
      <c r="C35" s="834"/>
      <c r="D35" s="33">
        <f>IF(A35&gt;0,1,0)</f>
        <v>0</v>
      </c>
      <c r="E35" s="33">
        <f>IF(A35&gt;0,"St",0)</f>
        <v>0</v>
      </c>
    </row>
    <row r="36" spans="1:5" ht="13.5" customHeight="1">
      <c r="A36" s="117">
        <f>IF(Abfrage!$C$152&gt;0,Abfrage!C152,Abfrage!B96)</f>
        <v>0</v>
      </c>
      <c r="B36" s="834">
        <f>IF(A36&gt;0,"Rückwand",0)</f>
        <v>0</v>
      </c>
      <c r="C36" s="834"/>
      <c r="D36" s="33">
        <f>IF(A36&gt;0,1,0)</f>
        <v>0</v>
      </c>
      <c r="E36" s="33">
        <f>IF(A36&gt;0,"St",0)</f>
        <v>0</v>
      </c>
    </row>
    <row r="37" spans="1:5" ht="13.5" customHeight="1">
      <c r="A37" s="117">
        <f>IF(Abfrage!$C$112&gt;0,Abfrage!C112,Abfrage!B116+Abfrage!B117)</f>
        <v>0</v>
      </c>
      <c r="B37" s="834">
        <f>IF(A37&gt;0,"1. Bedienplatte",0)</f>
        <v>0</v>
      </c>
      <c r="C37" s="834"/>
      <c r="D37" s="33">
        <f>IF(A37&gt;0,1,0)</f>
        <v>0</v>
      </c>
      <c r="E37" s="33">
        <f>IF(A37&gt;0,"St",0)</f>
        <v>0</v>
      </c>
    </row>
    <row r="38" spans="1:5" ht="13.5" customHeight="1">
      <c r="A38" s="117">
        <f>IF(Abfrage!$C$118&gt;0,Abfrage!C118,Abfrage!B122+Abfrage!B123)</f>
        <v>0</v>
      </c>
      <c r="B38" s="834">
        <f>IF(A38&gt;0,"2. Bedienplatte",0)</f>
        <v>0</v>
      </c>
      <c r="C38" s="834"/>
      <c r="D38" s="33">
        <f>IF(A38&gt;0,1,0)</f>
        <v>0</v>
      </c>
      <c r="E38" s="33">
        <f>IF(A38&gt;0,"St",0)</f>
        <v>0</v>
      </c>
    </row>
    <row r="39" spans="1:5" ht="13.5" customHeight="1">
      <c r="A39" s="103">
        <f>IF(form!B42+form!B43+form!H41+form!H42+form!B55+form!B56+form!H55+form!H56&gt;0,'DB'!A46,0)</f>
        <v>0</v>
      </c>
      <c r="B39" s="834">
        <f>VLOOKUP($A$7:$A$207,'DB'!$A$4:$E$200,2,FALSE)</f>
        <v>0</v>
      </c>
      <c r="C39" s="834"/>
      <c r="D39" s="33">
        <f>IF(A39&gt;0,form!$I$31+form!$I$32,0)</f>
        <v>0</v>
      </c>
      <c r="E39" s="33">
        <f>VLOOKUP($A$7:$A$207,'DB'!$A$4:$E$200,3,FALSE)</f>
        <v>0</v>
      </c>
    </row>
    <row r="40" spans="1:5" ht="13.5" customHeight="1">
      <c r="A40" s="103">
        <f>IF(A39&gt;0,'DB'!A50,0)</f>
        <v>0</v>
      </c>
      <c r="B40" s="834">
        <f>VLOOKUP($A$7:$A$207,'DB'!$A$4:$E$200,2,FALSE)</f>
        <v>0</v>
      </c>
      <c r="C40" s="834"/>
      <c r="D40" s="33">
        <f>IF(A40&gt;0,form!$I$33,0)</f>
        <v>0</v>
      </c>
      <c r="E40" s="33">
        <f>VLOOKUP($A$7:$A$207,'DB'!$A$4:$E$200,3,FALSE)</f>
        <v>0</v>
      </c>
    </row>
    <row r="41" spans="1:5" ht="13.5" customHeight="1">
      <c r="A41" s="103">
        <f>IF(A39&gt;0,'DB'!A51,0)</f>
        <v>0</v>
      </c>
      <c r="B41" s="834">
        <f>VLOOKUP($A$7:$A$207,'DB'!$A$4:$E$200,2,FALSE)</f>
        <v>0</v>
      </c>
      <c r="C41" s="834"/>
      <c r="D41" s="33">
        <f>IF(A41&gt;0,form!$I$34,0)</f>
        <v>0</v>
      </c>
      <c r="E41" s="33">
        <f>VLOOKUP($A$7:$A$207,'DB'!$A$4:$E$200,3,FALSE)</f>
        <v>0</v>
      </c>
    </row>
    <row r="42" spans="1:5" ht="13.5" customHeight="1">
      <c r="A42" s="103">
        <f>IF(form!$B$43+form!$H$42+form!$H$56+form!$B$56&gt;0,'DB'!$A$52,0)</f>
        <v>0</v>
      </c>
      <c r="B42" s="834">
        <f>VLOOKUP($A$7:$A$207,'DB'!$A$4:$E$200,2,FALSE)</f>
        <v>0</v>
      </c>
      <c r="C42" s="834"/>
      <c r="D42" s="33">
        <f>IF(A42&gt;0,form!I35,0)</f>
        <v>0</v>
      </c>
      <c r="E42" s="33">
        <f>VLOOKUP($A$7:$A$207,'DB'!$A$4:$E$200,3,FALSE)</f>
        <v>0</v>
      </c>
    </row>
    <row r="43" spans="1:5" ht="13.5" customHeight="1">
      <c r="A43" s="103">
        <f>IF(form!$B$43+form!$H$42+form!$H$56+form!$B$56&gt;0,'DB'!$A$53,0)</f>
        <v>0</v>
      </c>
      <c r="B43" s="834">
        <f>VLOOKUP($A$7:$A$207,'DB'!$A$4:$E$200,2,FALSE)</f>
        <v>0</v>
      </c>
      <c r="C43" s="834"/>
      <c r="D43" s="33">
        <f>IF(A43&gt;0,form!I36,0)</f>
        <v>0</v>
      </c>
      <c r="E43" s="33">
        <f>VLOOKUP($A$7:$A$207,'DB'!$A$4:$E$200,3,FALSE)</f>
        <v>0</v>
      </c>
    </row>
    <row r="44" spans="1:5" ht="13.5" customHeight="1">
      <c r="A44" s="103">
        <f>IF(form!$B$43+form!$H$42+form!$H$56+form!$B$56&gt;0,'DB'!$A$54,0)</f>
        <v>0</v>
      </c>
      <c r="B44" s="834">
        <f>VLOOKUP($A$7:$A$207,'DB'!$A$4:$E$200,2,FALSE)</f>
        <v>0</v>
      </c>
      <c r="C44" s="834"/>
      <c r="D44" s="33">
        <f>IF(A44&gt;0,form!I37,0)</f>
        <v>0</v>
      </c>
      <c r="E44" s="33">
        <f>VLOOKUP($A$7:$A$207,'DB'!$A$4:$E$200,3,FALSE)</f>
        <v>0</v>
      </c>
    </row>
    <row r="45" spans="1:5" ht="13.5" customHeight="1">
      <c r="A45" s="103">
        <f>IF(Abfrage!$B$48&gt;0,'DB'!$A$45,0)</f>
        <v>0</v>
      </c>
      <c r="B45" s="834">
        <f>VLOOKUP($A$7:$A$207,'DB'!$A$4:$E$200,2,FALSE)</f>
        <v>0</v>
      </c>
      <c r="C45" s="834"/>
      <c r="D45" s="33">
        <f>IF(A45&gt;0,form!H38,0)</f>
        <v>0</v>
      </c>
      <c r="E45" s="33">
        <f>VLOOKUP($A$7:$A$207,'DB'!$A$4:$E$200,3,FALSE)</f>
        <v>0</v>
      </c>
    </row>
    <row r="46" spans="1:5" ht="13.5" customHeight="1">
      <c r="A46" s="103">
        <f>IF(Abfrage!B97&gt;0,'DB'!A60,0)</f>
        <v>0</v>
      </c>
      <c r="B46" s="834">
        <f>VLOOKUP($A$7:$A$207,'DB'!$A$4:$E$200,2,FALSE)</f>
        <v>0</v>
      </c>
      <c r="C46" s="834"/>
      <c r="D46" s="33">
        <f>IF(A46&gt;0,form!P29,0)</f>
        <v>0</v>
      </c>
      <c r="E46" s="33">
        <f>VLOOKUP($A$7:$A$207,'DB'!$A$4:$E$200,3,FALSE)</f>
        <v>0</v>
      </c>
    </row>
    <row r="47" spans="1:5" ht="13.5" customHeight="1">
      <c r="A47" s="103">
        <f>IF(Abfrage!$B$97+Abfrage!$B$98&gt;0,'DB'!$A$59,0)</f>
        <v>0</v>
      </c>
      <c r="B47" s="834">
        <f>VLOOKUP($A$7:$A$207,'DB'!$A$4:$E$200,2,FALSE)</f>
        <v>0</v>
      </c>
      <c r="C47" s="834"/>
      <c r="D47" s="33">
        <f>IF(A47&gt;0,(D46+D48)*2,0)</f>
        <v>0</v>
      </c>
      <c r="E47" s="33">
        <f>VLOOKUP($A$7:$A$207,'DB'!$A$4:$E$200,3,FALSE)</f>
        <v>0</v>
      </c>
    </row>
    <row r="48" spans="1:5" ht="13.5" customHeight="1">
      <c r="A48" s="103">
        <f>IF(Abfrage!$B$98&gt;0,'DB'!A57,0)</f>
        <v>0</v>
      </c>
      <c r="B48" s="834">
        <f>VLOOKUP($A$7:$A$207,'DB'!$A$4:$E$200,2,FALSE)</f>
        <v>0</v>
      </c>
      <c r="C48" s="834"/>
      <c r="D48" s="33">
        <f>IF(A48&gt;0,form!P29,0)</f>
        <v>0</v>
      </c>
      <c r="E48" s="33">
        <f>VLOOKUP($A$7:$A$207,'DB'!$A$4:$E$200,3,FALSE)</f>
        <v>0</v>
      </c>
    </row>
    <row r="49" spans="1:5" ht="13.5" customHeight="1">
      <c r="A49" s="103">
        <f>IF(Abfrage!$B$98&gt;0,'DB'!A58,0)</f>
        <v>0</v>
      </c>
      <c r="B49" s="834">
        <f>VLOOKUP($A$7:$A$207,'DB'!$A$4:$E$200,2,FALSE)</f>
        <v>0</v>
      </c>
      <c r="C49" s="834"/>
      <c r="D49" s="33">
        <f>IF(A49&gt;0,D48*2,0)</f>
        <v>0</v>
      </c>
      <c r="E49" s="33">
        <f>VLOOKUP($A$7:$A$207,'DB'!$A$4:$E$200,3,FALSE)</f>
        <v>0</v>
      </c>
    </row>
    <row r="50" spans="1:5" ht="13.5" customHeight="1">
      <c r="A50" s="103">
        <f>IF(Abfrage!$B$56+Abfrage!$B$57+Abfrage!$B$62+Abfrage!$B$63&gt;0,'DB'!$A$55,0)</f>
        <v>0</v>
      </c>
      <c r="B50" s="834">
        <f>VLOOKUP($A$7:$A$207,'DB'!$A$4:$E$200,2,FALSE)</f>
        <v>0</v>
      </c>
      <c r="C50" s="834"/>
      <c r="D50" s="33">
        <f>IF(A50&gt;0,2,0)</f>
        <v>0</v>
      </c>
      <c r="E50" s="33">
        <f>VLOOKUP($A$7:$A$207,'DB'!$A$4:$E$200,3,FALSE)</f>
        <v>0</v>
      </c>
    </row>
    <row r="51" spans="1:5" ht="13.5" customHeight="1">
      <c r="A51" s="103">
        <f>IF(Abfrage!$B$56+Abfrage!$B$57+Abfrage!$B$62+Abfrage!$B$63&gt;0,'DB'!$A$56,0)</f>
        <v>0</v>
      </c>
      <c r="B51" s="834">
        <f>VLOOKUP($A$7:$A$207,'DB'!$A$4:$E$200,2,FALSE)</f>
        <v>0</v>
      </c>
      <c r="C51" s="834"/>
      <c r="D51" s="33">
        <f>IF(A51&gt;0,D50*4,0)</f>
        <v>0</v>
      </c>
      <c r="E51" s="33">
        <f>VLOOKUP($A$7:$A$207,'DB'!$A$4:$E$200,3,FALSE)</f>
        <v>0</v>
      </c>
    </row>
    <row r="52" spans="1:5" ht="13.5" customHeight="1">
      <c r="A52" s="103">
        <f>IF(Abfrage!$B$56+Abfrage!$B$57+Abfrage!$B$62+Abfrage!$B$63&gt;0,'DB'!$A$92,0)</f>
        <v>0</v>
      </c>
      <c r="B52" s="834">
        <f>VLOOKUP($A$7:$A$207,'DB'!$A$4:$E$200,2,FALSE)</f>
        <v>0</v>
      </c>
      <c r="C52" s="834"/>
      <c r="D52" s="33">
        <f>IF(A52&gt;0,1,0)</f>
        <v>0</v>
      </c>
      <c r="E52" s="33">
        <f>VLOOKUP($A$7:$A$207,'DB'!$A$4:$E$200,3,FALSE)</f>
        <v>0</v>
      </c>
    </row>
    <row r="53" spans="1:5" ht="13.5" customHeight="1">
      <c r="A53" s="103">
        <f>IF($A$52&gt;0,'DB'!A91,0)</f>
        <v>0</v>
      </c>
      <c r="B53" s="834">
        <f>VLOOKUP($A$7:$A$207,'DB'!$A$4:$E$200,2,FALSE)</f>
        <v>0</v>
      </c>
      <c r="C53" s="834"/>
      <c r="D53" s="33">
        <f>IF(A53&gt;0,2+(2*D56),0)</f>
        <v>0</v>
      </c>
      <c r="E53" s="33">
        <f>VLOOKUP($A$7:$A$207,'DB'!$A$4:$E$200,3,FALSE)</f>
        <v>0</v>
      </c>
    </row>
    <row r="54" spans="1:5" ht="13.5" customHeight="1">
      <c r="A54" s="103">
        <f>IF($A$52&gt;0,'DB'!A89,0)</f>
        <v>0</v>
      </c>
      <c r="B54" s="834">
        <f>VLOOKUP($A$7:$A$207,'DB'!$A$4:$E$200,2,FALSE)</f>
        <v>0</v>
      </c>
      <c r="C54" s="834"/>
      <c r="D54" s="33">
        <f>IF(A54&gt;0,2+(2*D56),0)</f>
        <v>0</v>
      </c>
      <c r="E54" s="33">
        <f>VLOOKUP($A$7:$A$207,'DB'!$A$4:$E$200,3,FALSE)</f>
        <v>0</v>
      </c>
    </row>
    <row r="55" spans="1:5" ht="13.5" customHeight="1">
      <c r="A55" s="103">
        <f>IF($A$52&gt;0,'DB'!A90,0)</f>
        <v>0</v>
      </c>
      <c r="B55" s="834">
        <f>VLOOKUP($A$7:$A$207,'DB'!$A$4:$E$200,2,FALSE)</f>
        <v>0</v>
      </c>
      <c r="C55" s="834"/>
      <c r="D55" s="33">
        <f>IF(A55&gt;0,2+(2*D56),1)</f>
        <v>1</v>
      </c>
      <c r="E55" s="33">
        <f>VLOOKUP($A$7:$A$207,'DB'!$A$4:$E$200,3,FALSE)</f>
        <v>0</v>
      </c>
    </row>
    <row r="56" spans="1:5" ht="13.5" customHeight="1">
      <c r="A56" s="103">
        <f>IF(Abfrage!$B$56+Abfrage!$B$57+Abfrage!$B$62+Abfrage!$B$63&gt;0,'DB'!$A$65,0)</f>
        <v>0</v>
      </c>
      <c r="B56" s="834">
        <f>VLOOKUP($A$7:$A$207,'DB'!$A$4:$E$200,2,FALSE)</f>
        <v>0</v>
      </c>
      <c r="C56" s="834"/>
      <c r="D56" s="33">
        <f>IF(A56&gt;0,form!$M$32,0)</f>
        <v>0</v>
      </c>
      <c r="E56" s="33">
        <f>VLOOKUP($A$7:$A$207,'DB'!$A$4:$E$200,3,FALSE)</f>
        <v>0</v>
      </c>
    </row>
    <row r="57" spans="1:5" ht="13.5" customHeight="1">
      <c r="A57" s="103">
        <f>IF(Abfrage!$B$97+Abfrage!$B$98&gt;0,'DB'!$A$64,0)</f>
        <v>0</v>
      </c>
      <c r="B57" s="834">
        <f>VLOOKUP($A$7:$A$207,'DB'!$A$4:$E$200,2,FALSE)</f>
        <v>0</v>
      </c>
      <c r="C57" s="834"/>
      <c r="D57" s="33">
        <f>IF(A57&gt;0,form!$M$31,0)</f>
        <v>0</v>
      </c>
      <c r="E57" s="33">
        <f>VLOOKUP($A$7:$A$207,'DB'!$A$4:$E$200,3,FALSE)</f>
        <v>0</v>
      </c>
    </row>
    <row r="58" spans="1:5" ht="13.5" customHeight="1">
      <c r="A58" s="103">
        <f>IF(A56&gt;0,'DB'!A88,0)</f>
        <v>0</v>
      </c>
      <c r="B58" s="834">
        <f>VLOOKUP($A$7:$A$207,'DB'!$A$4:$E$200,2,FALSE)</f>
        <v>0</v>
      </c>
      <c r="C58" s="834"/>
      <c r="D58" s="33">
        <f>D56</f>
        <v>0</v>
      </c>
      <c r="E58" s="33">
        <f>VLOOKUP($A$7:$A$207,'DB'!$A$4:$E$200,3,FALSE)</f>
        <v>0</v>
      </c>
    </row>
    <row r="59" spans="1:5" ht="13.5" customHeight="1">
      <c r="A59" s="103">
        <f>IF(Abfrage!$B$74+Abfrage!$B$75+Abfrage!$B$76+Abfrage!$B$77+Abfrage!$B$78+Abfrage!$B$79+Abfrage!$B$80+Abfrage!$B$81+Abfrage!$B$82&gt;0,'DB'!A61,0)</f>
        <v>0</v>
      </c>
      <c r="B59" s="834">
        <f>VLOOKUP($A$7:$A$207,'DB'!$A$4:$E$200,2,FALSE)</f>
        <v>0</v>
      </c>
      <c r="C59" s="834"/>
      <c r="D59" s="33">
        <f>$D$56+$D$57</f>
        <v>0</v>
      </c>
      <c r="E59" s="33">
        <f>VLOOKUP($A$7:$A$207,'DB'!$A$4:$E$200,3,FALSE)</f>
        <v>0</v>
      </c>
    </row>
    <row r="60" spans="1:5" ht="13.5" customHeight="1">
      <c r="A60" s="103">
        <f>IF(Abfrage!$B$74+Abfrage!$B$75+Abfrage!$B$76+Abfrage!$B$77+Abfrage!$B$78+Abfrage!$B$79+Abfrage!$B$80+Abfrage!$B$81+Abfrage!$B$82&gt;0,'DB'!A62,0)</f>
        <v>0</v>
      </c>
      <c r="B60" s="834">
        <f>VLOOKUP($A$7:$A$207,'DB'!$A$4:$E$200,2,FALSE)</f>
        <v>0</v>
      </c>
      <c r="C60" s="834"/>
      <c r="D60" s="33">
        <f>$D$56+$D$57</f>
        <v>0</v>
      </c>
      <c r="E60" s="33">
        <f>VLOOKUP($A$7:$A$207,'DB'!$A$4:$E$200,3,FALSE)</f>
        <v>0</v>
      </c>
    </row>
    <row r="61" spans="1:5" ht="13.5" customHeight="1">
      <c r="A61" s="103">
        <f>IF(Abfrage!$B$74+Abfrage!$B$75+Abfrage!$B$76+Abfrage!$B$77+Abfrage!$B$78+Abfrage!$B$79+Abfrage!$B$80+Abfrage!$B$81+Abfrage!$B$82&gt;0,'DB'!A63,0)</f>
        <v>0</v>
      </c>
      <c r="B61" s="834">
        <f>VLOOKUP($A$7:$A$207,'DB'!$A$4:$E$200,2,FALSE)</f>
        <v>0</v>
      </c>
      <c r="C61" s="834"/>
      <c r="D61" s="33">
        <f>$D$56+$D$57</f>
        <v>0</v>
      </c>
      <c r="E61" s="33">
        <f>VLOOKUP($A$7:$A$207,'DB'!$A$4:$E$200,3,FALSE)</f>
        <v>0</v>
      </c>
    </row>
    <row r="62" spans="1:5" ht="13.5" customHeight="1">
      <c r="A62" s="103">
        <f>IF(Abfrage!B74&gt;0,'DB'!A66,0)</f>
        <v>0</v>
      </c>
      <c r="B62" s="834">
        <f>VLOOKUP($A$7:$A$207,'DB'!$A$4:$E$200,2,FALSE)</f>
        <v>0</v>
      </c>
      <c r="C62" s="834"/>
      <c r="D62" s="33">
        <f>IF(A62&gt;0,$D$56+$D$57,0)</f>
        <v>0</v>
      </c>
      <c r="E62" s="33">
        <f>VLOOKUP($A$7:$A$207,'DB'!$A$4:$E$200,3,FALSE)</f>
        <v>0</v>
      </c>
    </row>
    <row r="63" spans="1:5" ht="13.5" customHeight="1">
      <c r="A63" s="103">
        <f>IF(Abfrage!B75&gt;0,'DB'!A67,0)</f>
        <v>0</v>
      </c>
      <c r="B63" s="834">
        <f>VLOOKUP($A$7:$A$207,'DB'!$A$4:$E$200,2,FALSE)</f>
        <v>0</v>
      </c>
      <c r="C63" s="834"/>
      <c r="D63" s="33">
        <f>IF(A63&gt;0,$D$56+$D$57,0)</f>
        <v>0</v>
      </c>
      <c r="E63" s="33">
        <f>VLOOKUP($A$7:$A$207,'DB'!$A$4:$E$200,3,FALSE)</f>
        <v>0</v>
      </c>
    </row>
    <row r="64" spans="1:5" ht="13.5" customHeight="1">
      <c r="A64" s="103">
        <f>IF(Abfrage!B76&gt;0,'DB'!A68,0)</f>
        <v>0</v>
      </c>
      <c r="B64" s="834">
        <f>VLOOKUP($A$7:$A$207,'DB'!$A$4:$E$200,2,FALSE)</f>
        <v>0</v>
      </c>
      <c r="C64" s="834"/>
      <c r="D64" s="33">
        <f>IF(A64&gt;0,$D$56+$D$57,0)</f>
        <v>0</v>
      </c>
      <c r="E64" s="33">
        <f>VLOOKUP($A$7:$A$207,'DB'!$A$4:$E$200,3,FALSE)</f>
        <v>0</v>
      </c>
    </row>
    <row r="65" spans="1:5" ht="13.5" customHeight="1">
      <c r="A65" s="103">
        <f>IF(Abfrage!B77&gt;0,'DB'!A69,0)</f>
        <v>0</v>
      </c>
      <c r="B65" s="834">
        <f>VLOOKUP($A$7:$A$207,'DB'!$A$4:$E$200,2,FALSE)</f>
        <v>0</v>
      </c>
      <c r="C65" s="834"/>
      <c r="D65" s="33">
        <f aca="true" t="shared" si="0" ref="D65:D70">IF(A65&gt;0,$D$56+$D$57,0)</f>
        <v>0</v>
      </c>
      <c r="E65" s="33">
        <f>VLOOKUP($A$7:$A$207,'DB'!$A$4:$E$200,3,FALSE)</f>
        <v>0</v>
      </c>
    </row>
    <row r="66" spans="1:5" ht="13.5" customHeight="1">
      <c r="A66" s="103">
        <f>IF(Abfrage!B78&gt;0,'DB'!A71,0)</f>
        <v>0</v>
      </c>
      <c r="B66" s="834">
        <f>VLOOKUP($A$7:$A$207,'DB'!$A$4:$E$200,2,FALSE)</f>
        <v>0</v>
      </c>
      <c r="C66" s="834"/>
      <c r="D66" s="33">
        <f t="shared" si="0"/>
        <v>0</v>
      </c>
      <c r="E66" s="33">
        <f>VLOOKUP($A$7:$A$207,'DB'!$A$4:$E$200,3,FALSE)</f>
        <v>0</v>
      </c>
    </row>
    <row r="67" spans="1:5" ht="13.5" customHeight="1">
      <c r="A67" s="103">
        <f>IF(Abfrage!B79&gt;0,'DB'!A70,0)</f>
        <v>0</v>
      </c>
      <c r="B67" s="834">
        <f>VLOOKUP($A$7:$A$207,'DB'!$A$4:$E$200,2,FALSE)</f>
        <v>0</v>
      </c>
      <c r="C67" s="834"/>
      <c r="D67" s="33">
        <f t="shared" si="0"/>
        <v>0</v>
      </c>
      <c r="E67" s="33">
        <f>VLOOKUP($A$7:$A$207,'DB'!$A$4:$E$200,3,FALSE)</f>
        <v>0</v>
      </c>
    </row>
    <row r="68" spans="1:5" ht="13.5" customHeight="1">
      <c r="A68" s="103">
        <f>IF(Abfrage!B80&gt;0,'DB'!A72,0)</f>
        <v>0</v>
      </c>
      <c r="B68" s="834">
        <f>VLOOKUP($A$7:$A$207,'DB'!$A$4:$E$200,2,FALSE)</f>
        <v>0</v>
      </c>
      <c r="C68" s="834"/>
      <c r="D68" s="33">
        <f t="shared" si="0"/>
        <v>0</v>
      </c>
      <c r="E68" s="33">
        <f>VLOOKUP($A$7:$A$207,'DB'!$A$4:$E$200,3,FALSE)</f>
        <v>0</v>
      </c>
    </row>
    <row r="69" spans="1:5" ht="13.5" customHeight="1">
      <c r="A69" s="103">
        <f>IF(Abfrage!B81&gt;0,'DB'!A73,0)</f>
        <v>0</v>
      </c>
      <c r="B69" s="834">
        <f>VLOOKUP($A$7:$A$207,'DB'!$A$4:$E$200,2,FALSE)</f>
        <v>0</v>
      </c>
      <c r="C69" s="834"/>
      <c r="D69" s="33">
        <f t="shared" si="0"/>
        <v>0</v>
      </c>
      <c r="E69" s="33">
        <f>VLOOKUP($A$7:$A$207,'DB'!$A$4:$E$200,3,FALSE)</f>
        <v>0</v>
      </c>
    </row>
    <row r="70" spans="1:5" ht="13.5" customHeight="1">
      <c r="A70" s="103">
        <f>IF(Abfrage!B82&gt;0,'DB'!A74,0)</f>
        <v>0</v>
      </c>
      <c r="B70" s="834">
        <f>VLOOKUP($A$7:$A$207,'DB'!$A$4:$E$200,2,FALSE)</f>
        <v>0</v>
      </c>
      <c r="C70" s="834"/>
      <c r="D70" s="33">
        <f t="shared" si="0"/>
        <v>0</v>
      </c>
      <c r="E70" s="33">
        <f>VLOOKUP($A$7:$A$207,'DB'!$A$4:$E$200,3,FALSE)</f>
        <v>0</v>
      </c>
    </row>
    <row r="71" spans="1:5" ht="13.5" customHeight="1">
      <c r="A71" s="103">
        <f>IF(Abfrage!B74&gt;0,'DB'!A75,0)</f>
        <v>0</v>
      </c>
      <c r="B71" s="834">
        <f>VLOOKUP($A$7:$A$207,'DB'!$A$4:$E$200,2,FALSE)</f>
        <v>0</v>
      </c>
      <c r="C71" s="834"/>
      <c r="D71" s="33">
        <f aca="true" t="shared" si="1" ref="D71:D79">D62</f>
        <v>0</v>
      </c>
      <c r="E71" s="33">
        <f>VLOOKUP($A$7:$A$207,'DB'!$A$4:$E$200,3,FALSE)</f>
        <v>0</v>
      </c>
    </row>
    <row r="72" spans="1:5" ht="13.5" customHeight="1">
      <c r="A72" s="103">
        <f>IF(Abfrage!B75&gt;0,'DB'!A76,0)</f>
        <v>0</v>
      </c>
      <c r="B72" s="834">
        <f>VLOOKUP($A$7:$A$207,'DB'!$A$4:$E$200,2,FALSE)</f>
        <v>0</v>
      </c>
      <c r="C72" s="834"/>
      <c r="D72" s="33">
        <f t="shared" si="1"/>
        <v>0</v>
      </c>
      <c r="E72" s="33">
        <f>VLOOKUP($A$7:$A$207,'DB'!$A$4:$E$200,3,FALSE)</f>
        <v>0</v>
      </c>
    </row>
    <row r="73" spans="1:5" ht="13.5" customHeight="1">
      <c r="A73" s="103">
        <f>IF(Abfrage!B76&gt;0,'DB'!A77,0)</f>
        <v>0</v>
      </c>
      <c r="B73" s="834">
        <f>VLOOKUP($A$7:$A$207,'DB'!$A$4:$E$200,2,FALSE)</f>
        <v>0</v>
      </c>
      <c r="C73" s="834"/>
      <c r="D73" s="33">
        <f t="shared" si="1"/>
        <v>0</v>
      </c>
      <c r="E73" s="33">
        <f>VLOOKUP($A$7:$A$207,'DB'!$A$4:$E$200,3,FALSE)</f>
        <v>0</v>
      </c>
    </row>
    <row r="74" spans="1:5" ht="13.5" customHeight="1">
      <c r="A74" s="103">
        <f>IF(Abfrage!B77&gt;0,'DB'!A78,0)</f>
        <v>0</v>
      </c>
      <c r="B74" s="834">
        <f>VLOOKUP($A$7:$A$207,'DB'!$A$4:$E$200,2,FALSE)</f>
        <v>0</v>
      </c>
      <c r="C74" s="834"/>
      <c r="D74" s="33">
        <f t="shared" si="1"/>
        <v>0</v>
      </c>
      <c r="E74" s="33">
        <f>VLOOKUP($A$7:$A$207,'DB'!$A$4:$E$200,3,FALSE)</f>
        <v>0</v>
      </c>
    </row>
    <row r="75" spans="1:5" ht="13.5" customHeight="1">
      <c r="A75" s="103">
        <f>IF(Abfrage!B78&gt;0,'DB'!A79,0)</f>
        <v>0</v>
      </c>
      <c r="B75" s="834">
        <f>VLOOKUP($A$7:$A$207,'DB'!$A$4:$E$200,2,FALSE)</f>
        <v>0</v>
      </c>
      <c r="C75" s="834"/>
      <c r="D75" s="33">
        <f t="shared" si="1"/>
        <v>0</v>
      </c>
      <c r="E75" s="33">
        <f>VLOOKUP($A$7:$A$207,'DB'!$A$4:$E$200,3,FALSE)</f>
        <v>0</v>
      </c>
    </row>
    <row r="76" spans="1:5" ht="13.5" customHeight="1">
      <c r="A76" s="103">
        <f>IF(Abfrage!B79&gt;0,'DB'!A83,0)</f>
        <v>0</v>
      </c>
      <c r="B76" s="834">
        <f>VLOOKUP($A$7:$A$207,'DB'!$A$4:$E$200,2,FALSE)</f>
        <v>0</v>
      </c>
      <c r="C76" s="834"/>
      <c r="D76" s="33">
        <f t="shared" si="1"/>
        <v>0</v>
      </c>
      <c r="E76" s="33">
        <f>VLOOKUP($A$7:$A$207,'DB'!$A$4:$E$200,3,FALSE)</f>
        <v>0</v>
      </c>
    </row>
    <row r="77" spans="1:5" ht="13.5" customHeight="1">
      <c r="A77" s="103">
        <f>IF(Abfrage!B80&gt;0,'DB'!A80,0)</f>
        <v>0</v>
      </c>
      <c r="B77" s="834">
        <f>VLOOKUP($A$7:$A$207,'DB'!$A$4:$E$200,2,FALSE)</f>
        <v>0</v>
      </c>
      <c r="C77" s="834"/>
      <c r="D77" s="33">
        <f t="shared" si="1"/>
        <v>0</v>
      </c>
      <c r="E77" s="33">
        <f>VLOOKUP($A$7:$A$207,'DB'!$A$4:$E$200,3,FALSE)</f>
        <v>0</v>
      </c>
    </row>
    <row r="78" spans="1:5" ht="13.5" customHeight="1">
      <c r="A78" s="103">
        <f>IF(Abfrage!B81&gt;0,'DB'!A81,0)</f>
        <v>0</v>
      </c>
      <c r="B78" s="834">
        <f>VLOOKUP($A$7:$A$207,'DB'!$A$4:$E$200,2,FALSE)</f>
        <v>0</v>
      </c>
      <c r="C78" s="834"/>
      <c r="D78" s="33">
        <f t="shared" si="1"/>
        <v>0</v>
      </c>
      <c r="E78" s="33">
        <f>VLOOKUP($A$7:$A$207,'DB'!$A$4:$E$200,3,FALSE)</f>
        <v>0</v>
      </c>
    </row>
    <row r="79" spans="1:5" ht="13.5" customHeight="1">
      <c r="A79" s="103">
        <f>IF(Abfrage!B82&gt;0,'DB'!A82,0)</f>
        <v>0</v>
      </c>
      <c r="B79" s="834">
        <f>VLOOKUP($A$7:$A$207,'DB'!$A$4:$E$200,2,FALSE)</f>
        <v>0</v>
      </c>
      <c r="C79" s="834"/>
      <c r="D79" s="33">
        <f t="shared" si="1"/>
        <v>0</v>
      </c>
      <c r="E79" s="33">
        <f>VLOOKUP($A$7:$A$207,'DB'!$A$4:$E$200,3,FALSE)</f>
        <v>0</v>
      </c>
    </row>
    <row r="80" spans="1:5" ht="13.5" customHeight="1">
      <c r="A80" s="103">
        <f>IF(Abfrage!B84&gt;0,'DB'!A85,0)</f>
        <v>0</v>
      </c>
      <c r="B80" s="834">
        <f>VLOOKUP($A$7:$A$207,'DB'!$A$4:$E$200,2,FALSE)</f>
        <v>0</v>
      </c>
      <c r="C80" s="834"/>
      <c r="D80" s="33">
        <f>IF(A80&gt;0,$D$56+$D$57,0)</f>
        <v>0</v>
      </c>
      <c r="E80" s="33">
        <f>VLOOKUP($A$7:$A$207,'DB'!$A$4:$E$200,3,FALSE)</f>
        <v>0</v>
      </c>
    </row>
    <row r="81" spans="1:5" ht="13.5" customHeight="1">
      <c r="A81" s="103">
        <f>IF(Abfrage!B85&gt;0,'DB'!A84,0)</f>
        <v>0</v>
      </c>
      <c r="B81" s="834">
        <f>VLOOKUP($A$7:$A$207,'DB'!$A$4:$E$200,2,FALSE)</f>
        <v>0</v>
      </c>
      <c r="C81" s="834"/>
      <c r="D81" s="33">
        <f>IF(A81&gt;0,$D$56+$D$57,0)</f>
        <v>0</v>
      </c>
      <c r="E81" s="33">
        <f>VLOOKUP($A$7:$A$207,'DB'!$A$4:$E$200,3,FALSE)</f>
        <v>0</v>
      </c>
    </row>
    <row r="82" spans="1:5" ht="13.5" customHeight="1">
      <c r="A82" s="103">
        <f>IF(Abfrage!B86&gt;0,'DB'!A86,0)</f>
        <v>0</v>
      </c>
      <c r="B82" s="834">
        <f>VLOOKUP($A$7:$A$207,'DB'!$A$4:$E$200,2,FALSE)</f>
        <v>0</v>
      </c>
      <c r="C82" s="834"/>
      <c r="D82" s="33">
        <f>IF(A82&gt;0,$D$56+$D$57,0)</f>
        <v>0</v>
      </c>
      <c r="E82" s="33">
        <f>VLOOKUP($A$7:$A$207,'DB'!$A$4:$E$200,3,FALSE)</f>
        <v>0</v>
      </c>
    </row>
    <row r="83" spans="1:5" ht="13.5" customHeight="1">
      <c r="A83" s="103">
        <f>IF(Abfrage!B87&gt;0,'DB'!A87,0)</f>
        <v>0</v>
      </c>
      <c r="B83" s="834">
        <f>VLOOKUP($A$7:$A$207,'DB'!$A$4:$E$200,2,FALSE)</f>
        <v>0</v>
      </c>
      <c r="C83" s="834"/>
      <c r="D83" s="33">
        <f>IF(A83&gt;0,$D$56+$D$57,0)</f>
        <v>0</v>
      </c>
      <c r="E83" s="33">
        <f>VLOOKUP($A$7:$A$207,'DB'!$A$4:$E$200,3,FALSE)</f>
        <v>0</v>
      </c>
    </row>
    <row r="84" spans="1:5" ht="13.5" customHeight="1">
      <c r="A84" s="103">
        <f>IF(form!H16+form!I16&gt;0,'DB'!A95,0)</f>
        <v>0</v>
      </c>
      <c r="B84" s="834">
        <f>VLOOKUP($A$7:$A$207,'DB'!$A$4:$E$200,2,FALSE)</f>
        <v>0</v>
      </c>
      <c r="C84" s="834"/>
      <c r="D84" s="60">
        <f>IF(A84&gt;0,form!O16,0)</f>
        <v>0</v>
      </c>
      <c r="E84" s="33">
        <f>VLOOKUP($A$7:$A$207,'DB'!$A$4:$E$200,3,FALSE)</f>
        <v>0</v>
      </c>
    </row>
    <row r="85" spans="1:5" ht="13.5" customHeight="1">
      <c r="A85" s="103">
        <f>IF(form!H17+form!I17&gt;0,'DB'!A96,0)</f>
        <v>0</v>
      </c>
      <c r="B85" s="834">
        <f>VLOOKUP($A$7:$A$207,'DB'!$A$4:$E$200,2,FALSE)</f>
        <v>0</v>
      </c>
      <c r="C85" s="834"/>
      <c r="D85" s="60">
        <f>IF(A85&gt;0,form!O17,0)</f>
        <v>0</v>
      </c>
      <c r="E85" s="33">
        <f>VLOOKUP($A$7:$A$207,'DB'!$A$4:$E$200,3,FALSE)</f>
        <v>0</v>
      </c>
    </row>
    <row r="86" spans="1:5" ht="13.5" customHeight="1">
      <c r="A86" s="103">
        <f>IF(form!N16+form!N17&gt;0,'DB'!A97,0)</f>
        <v>0</v>
      </c>
      <c r="B86" s="834">
        <f>VLOOKUP($A$7:$A$207,'DB'!$A$4:$E$200,2,FALSE)</f>
        <v>0</v>
      </c>
      <c r="C86" s="834"/>
      <c r="D86" s="132">
        <f>IF(Abfrage!B100&gt;0,form!H18*2,IF(Abfrage!B105&gt;0,form!I18*2,0))</f>
        <v>0</v>
      </c>
      <c r="E86" s="33">
        <f>VLOOKUP($A$7:$A$207,'DB'!$A$4:$E$200,3,FALSE)</f>
        <v>0</v>
      </c>
    </row>
    <row r="87" spans="1:5" ht="13.5" customHeight="1">
      <c r="A87" s="103">
        <f>IF($A$86&gt;0,'DB'!A51,0)</f>
        <v>0</v>
      </c>
      <c r="B87" s="834">
        <f>VLOOKUP($A$7:$A$207,'DB'!$A$4:$E$200,2,FALSE)</f>
        <v>0</v>
      </c>
      <c r="C87" s="834"/>
      <c r="D87" s="33">
        <f>$D$86*2</f>
        <v>0</v>
      </c>
      <c r="E87" s="33">
        <f>VLOOKUP($A$7:$A$207,'DB'!$A$4:$E$200,3,FALSE)</f>
        <v>0</v>
      </c>
    </row>
    <row r="88" spans="1:5" ht="13.5" customHeight="1">
      <c r="A88" s="103">
        <f>IF($A$86&gt;0,'DB'!A99,0)</f>
        <v>0</v>
      </c>
      <c r="B88" s="834">
        <f>VLOOKUP($A$7:$A$207,'DB'!$A$4:$E$200,2,FALSE)</f>
        <v>0</v>
      </c>
      <c r="C88" s="834"/>
      <c r="D88" s="33">
        <f>$D$86*2</f>
        <v>0</v>
      </c>
      <c r="E88" s="33">
        <f>VLOOKUP($A$7:$A$207,'DB'!$A$4:$E$200,3,FALSE)</f>
        <v>0</v>
      </c>
    </row>
    <row r="89" spans="1:5" ht="13.5" customHeight="1">
      <c r="A89" s="103">
        <f>IF($A$86&gt;0,'DB'!A50,0)</f>
        <v>0</v>
      </c>
      <c r="B89" s="834">
        <f>VLOOKUP($A$7:$A$207,'DB'!$A$4:$E$200,2,FALSE)</f>
        <v>0</v>
      </c>
      <c r="C89" s="834"/>
      <c r="D89" s="33">
        <f>$D$86*2</f>
        <v>0</v>
      </c>
      <c r="E89" s="33">
        <f>VLOOKUP($A$7:$A$207,'DB'!$A$4:$E$200,3,FALSE)</f>
        <v>0</v>
      </c>
    </row>
    <row r="90" spans="1:5" ht="13.5" customHeight="1">
      <c r="A90" s="103">
        <f>IF(Abfrage!B101+Abfrage!B106&gt;0,'DB'!A102,0)</f>
        <v>0</v>
      </c>
      <c r="B90" s="834">
        <f>VLOOKUP($A$7:$A$207,'DB'!$A$4:$E$200,2,FALSE)</f>
        <v>0</v>
      </c>
      <c r="C90" s="834"/>
      <c r="D90" s="33">
        <f>IF(A90&gt;0,1,0)</f>
        <v>0</v>
      </c>
      <c r="E90" s="33">
        <f>VLOOKUP($A$7:$A$207,'DB'!$A$4:$E$200,3,FALSE)</f>
        <v>0</v>
      </c>
    </row>
    <row r="91" spans="1:5" ht="13.5" customHeight="1">
      <c r="A91" s="103">
        <f>IF($A$86&gt;0,'DB'!A105,0)</f>
        <v>0</v>
      </c>
      <c r="B91" s="834">
        <f>VLOOKUP($A$7:$A$207,'DB'!$A$4:$E$200,2,FALSE)</f>
        <v>0</v>
      </c>
      <c r="C91" s="834"/>
      <c r="D91" s="33">
        <f>IF(A91&gt;0,100*(form!$H$18+form!$I$18),0)</f>
        <v>0</v>
      </c>
      <c r="E91" s="33">
        <f>VLOOKUP($A$7:$A$207,'DB'!$A$4:$E$200,3,FALSE)</f>
        <v>0</v>
      </c>
    </row>
    <row r="92" spans="1:5" ht="13.5" customHeight="1">
      <c r="A92" s="221">
        <f>IF(form!O54&gt;0,'DB'!A103,0)</f>
        <v>0</v>
      </c>
      <c r="B92" s="834">
        <f>VLOOKUP($A$7:$A$207,'DB'!$A$4:$E$200,2,FALSE)</f>
        <v>0</v>
      </c>
      <c r="C92" s="834"/>
      <c r="D92" s="33">
        <f>IF(A92&gt;0,form!O54,0)</f>
        <v>0</v>
      </c>
      <c r="E92" s="33">
        <f>VLOOKUP($A$7:$A$207,'DB'!$A$4:$E$200,3,FALSE)</f>
        <v>0</v>
      </c>
    </row>
    <row r="93" spans="1:5" ht="13.5" customHeight="1">
      <c r="A93" s="221">
        <f>IF(form!N54&gt;0,'DB'!A104,0)</f>
        <v>0</v>
      </c>
      <c r="B93" s="834">
        <f>VLOOKUP($A$7:$A$207,'DB'!$A$4:$E$200,2,FALSE)</f>
        <v>0</v>
      </c>
      <c r="C93" s="834"/>
      <c r="D93" s="33">
        <f>IF(A93&gt;0,form!N54,0)</f>
        <v>0</v>
      </c>
      <c r="E93" s="33">
        <f>VLOOKUP($A$7:$A$207,'DB'!$A$4:$E$200,3,FALSE)</f>
        <v>0</v>
      </c>
    </row>
    <row r="94" spans="1:5" ht="13.5" customHeight="1">
      <c r="A94" s="221">
        <f>IF(form!P54&gt;0,'DB'!A118,0)</f>
        <v>0</v>
      </c>
      <c r="B94" s="834">
        <f>VLOOKUP($A$7:$A$207,'DB'!$A$4:$E$200,2,FALSE)</f>
        <v>0</v>
      </c>
      <c r="C94" s="834"/>
      <c r="D94" s="33">
        <f>IF(A94&gt;0,form!P54,0)</f>
        <v>0</v>
      </c>
      <c r="E94" s="33">
        <f>VLOOKUP($A$7:$A$207,'DB'!$A$4:$E$200,3,FALSE)</f>
        <v>0</v>
      </c>
    </row>
    <row r="95" spans="1:5" ht="13.5" customHeight="1">
      <c r="A95" s="103">
        <f>IF(Abfrage!B125&gt;0,'DB'!A93,0)</f>
        <v>0</v>
      </c>
      <c r="B95" s="834">
        <f>VLOOKUP($A$7:$A$207,'DB'!$A$4:$E$200,2,FALSE)</f>
        <v>0</v>
      </c>
      <c r="C95" s="834"/>
      <c r="D95" s="33">
        <f>IF(A95&gt;0,Abfrage!$B$132+Abfrage!$B$133,0)</f>
        <v>0</v>
      </c>
      <c r="E95" s="33">
        <f>VLOOKUP($A$7:$A$207,'DB'!$A$4:$E$200,3,FALSE)</f>
        <v>0</v>
      </c>
    </row>
    <row r="96" spans="1:5" ht="13.5" customHeight="1">
      <c r="A96" s="103">
        <f>IF(Abfrage!B128&gt;0,'DB'!A94,0)</f>
        <v>0</v>
      </c>
      <c r="B96" s="834">
        <f>VLOOKUP($A$7:$A$207,'DB'!$A$4:$E$200,2,FALSE)</f>
        <v>0</v>
      </c>
      <c r="C96" s="834"/>
      <c r="D96" s="33">
        <f>IF(A96&gt;0,Abfrage!$B$132+Abfrage!$B$133,0)</f>
        <v>0</v>
      </c>
      <c r="E96" s="33">
        <f>VLOOKUP($A$7:$A$207,'DB'!$A$4:$E$200,3,FALSE)</f>
        <v>0</v>
      </c>
    </row>
    <row r="97" spans="1:5" ht="13.5" customHeight="1">
      <c r="A97" s="103">
        <f>IF(form!B63&gt;0,'DB'!A108,0)</f>
        <v>0</v>
      </c>
      <c r="B97" s="834">
        <f>VLOOKUP($A$7:$A$207,'DB'!$A$4:$E$200,2,FALSE)</f>
        <v>0</v>
      </c>
      <c r="C97" s="834"/>
      <c r="D97" s="33">
        <f>IF(A97&gt;0,form!B63,0)</f>
        <v>0</v>
      </c>
      <c r="E97" s="33">
        <f>VLOOKUP($A$7:$A$207,'DB'!$A$4:$E$200,3,FALSE)</f>
        <v>0</v>
      </c>
    </row>
    <row r="98" spans="1:5" ht="13.5" customHeight="1">
      <c r="A98" s="103">
        <f>IF(form!B69&gt;0,'DB'!A110,0)</f>
        <v>0</v>
      </c>
      <c r="B98" s="834">
        <f>VLOOKUP($A$7:$A$207,'DB'!$A$4:$E$200,2,FALSE)</f>
        <v>0</v>
      </c>
      <c r="C98" s="834"/>
      <c r="D98" s="33">
        <f>IF(A98&gt;0,form!B69,0)</f>
        <v>0</v>
      </c>
      <c r="E98" s="33">
        <f>VLOOKUP($A$7:$A$207,'DB'!$A$4:$E$200,3,FALSE)</f>
        <v>0</v>
      </c>
    </row>
    <row r="99" spans="1:5" ht="13.5" customHeight="1">
      <c r="A99" s="103">
        <f>IF(form!B71&gt;0,'DB'!A109,0)</f>
        <v>0</v>
      </c>
      <c r="B99" s="834">
        <f>VLOOKUP($A$7:$A$207,'DB'!$A$4:$E$200,2,FALSE)</f>
        <v>0</v>
      </c>
      <c r="C99" s="834"/>
      <c r="D99" s="33">
        <f>IF(A99&gt;0,form!B71,0)</f>
        <v>0</v>
      </c>
      <c r="E99" s="33">
        <f>VLOOKUP($A$7:$A$207,'DB'!$A$4:$E$200,3,FALSE)</f>
        <v>0</v>
      </c>
    </row>
    <row r="100" spans="1:5" ht="13.5" customHeight="1">
      <c r="A100" s="103">
        <f>IF(Abfrage!B91&gt;0,'DB'!A111,0)</f>
        <v>0</v>
      </c>
      <c r="B100" s="834">
        <f>VLOOKUP($A$7:$A$207,'DB'!$A$4:$E$200,2,FALSE)</f>
        <v>0</v>
      </c>
      <c r="C100" s="834"/>
      <c r="D100" s="33">
        <f>IF(A100&gt;0,Abfrage!D91,0)</f>
        <v>0</v>
      </c>
      <c r="E100" s="33">
        <f>VLOOKUP($A$7:$A$207,'DB'!$A$4:$E$200,3,FALSE)</f>
        <v>0</v>
      </c>
    </row>
    <row r="101" spans="1:5" ht="13.5" customHeight="1">
      <c r="A101" s="103">
        <f>IF(Abfrage!B29&gt;0,'DB'!A114,0)</f>
        <v>0</v>
      </c>
      <c r="B101" s="834">
        <f>VLOOKUP($A$7:$A$207,'DB'!$A$4:$E$200,2,FALSE)</f>
        <v>0</v>
      </c>
      <c r="C101" s="834"/>
      <c r="D101" s="33">
        <f>IF(A101&gt;0,2,0)</f>
        <v>0</v>
      </c>
      <c r="E101" s="33">
        <f>VLOOKUP($A$7:$A$207,'DB'!$A$4:$E$200,3,FALSE)</f>
        <v>0</v>
      </c>
    </row>
    <row r="102" spans="1:5" ht="13.5" customHeight="1">
      <c r="A102" s="103">
        <f>IF($A$101&gt;0,'DB'!A115,0)</f>
        <v>0</v>
      </c>
      <c r="B102" s="834">
        <f>VLOOKUP($A$7:$A$207,'DB'!$A$4:$E$200,2,FALSE)</f>
        <v>0</v>
      </c>
      <c r="C102" s="834"/>
      <c r="D102" s="33">
        <f>IF(A102&gt;0,$D$101*2,0)</f>
        <v>0</v>
      </c>
      <c r="E102" s="33">
        <f>VLOOKUP($A$7:$A$207,'DB'!$A$4:$E$200,3,FALSE)</f>
        <v>0</v>
      </c>
    </row>
    <row r="103" spans="1:5" ht="13.5" customHeight="1">
      <c r="A103" s="103">
        <f>IF($A$101&gt;0,'DB'!A116,0)</f>
        <v>0</v>
      </c>
      <c r="B103" s="834">
        <f>VLOOKUP($A$7:$A$207,'DB'!$A$4:$E$200,2,FALSE)</f>
        <v>0</v>
      </c>
      <c r="C103" s="834"/>
      <c r="D103" s="33">
        <f>IF(A103&gt;0,$D$101*8,0)</f>
        <v>0</v>
      </c>
      <c r="E103" s="33">
        <f>VLOOKUP($A$7:$A$207,'DB'!$A$4:$E$200,3,FALSE)</f>
        <v>0</v>
      </c>
    </row>
    <row r="104" spans="1:5" ht="13.5" customHeight="1">
      <c r="A104" s="103">
        <f>IF($A$101&gt;0,'DB'!A117,0)</f>
        <v>0</v>
      </c>
      <c r="B104" s="834">
        <f>VLOOKUP($A$7:$A$207,'DB'!$A$4:$E$200,2,FALSE)</f>
        <v>0</v>
      </c>
      <c r="C104" s="834"/>
      <c r="D104" s="33">
        <f>IF(A104&gt;0,$D$101*8,0)</f>
        <v>0</v>
      </c>
      <c r="E104" s="33">
        <f>VLOOKUP($A$7:$A$207,'DB'!$A$4:$E$200,3,FALSE)</f>
        <v>0</v>
      </c>
    </row>
    <row r="105" spans="1:5" ht="13.5" customHeight="1">
      <c r="A105" s="103"/>
      <c r="B105" s="834"/>
      <c r="C105" s="834"/>
      <c r="D105" s="33"/>
      <c r="E105" s="33"/>
    </row>
    <row r="106" spans="1:10" ht="13.5" customHeight="1">
      <c r="A106" s="103">
        <f>IF(Abfrage!$C$143="RAL7001 Silbergrau",'DB'!A2,0)</f>
        <v>0</v>
      </c>
      <c r="B106" s="834">
        <f>VLOOKUP($A$7:$A$207,'DB'!$A$2:$E$200,2,FALSE)</f>
        <v>0</v>
      </c>
      <c r="C106" s="834"/>
      <c r="D106" s="33">
        <f>IF(A106&gt;0,form!$Q$21,0)</f>
        <v>0</v>
      </c>
      <c r="E106" s="33">
        <f>VLOOKUP($A$7:$A$207,'DB'!$A$4:$E$200,3,FALSE)</f>
        <v>0</v>
      </c>
      <c r="J106" s="25" t="s">
        <v>600</v>
      </c>
    </row>
    <row r="107" spans="1:10" ht="13.5" customHeight="1">
      <c r="A107" s="103">
        <f>IF(Abfrage!$C$143="RAL7015 Schiefergrau",'DB'!A3,0)</f>
        <v>0</v>
      </c>
      <c r="B107" s="834">
        <f>VLOOKUP($A$7:$A$207,'DB'!$A$2:$E$200,2,FALSE)</f>
        <v>0</v>
      </c>
      <c r="C107" s="834"/>
      <c r="D107" s="33">
        <f>IF(A107&gt;0,form!$Q$21,0)</f>
        <v>0</v>
      </c>
      <c r="E107" s="33">
        <f>VLOOKUP($A$7:$A$207,'DB'!$A$4:$E$200,3,FALSE)</f>
        <v>0</v>
      </c>
      <c r="J107" s="25" t="s">
        <v>602</v>
      </c>
    </row>
    <row r="108" spans="1:10" ht="13.5" customHeight="1">
      <c r="A108" s="103"/>
      <c r="B108" s="834"/>
      <c r="C108" s="834"/>
      <c r="D108" s="33"/>
      <c r="E108" s="33"/>
      <c r="J108" s="25"/>
    </row>
    <row r="109" spans="1:10" ht="13.5" customHeight="1">
      <c r="A109" s="103">
        <f>IF(Abfrage!$C$143="RAL7035 Lichtgrau",'DB'!A5,0)</f>
        <v>0</v>
      </c>
      <c r="B109" s="834">
        <f>VLOOKUP($A$7:$A$207,'DB'!$A$2:$E$200,2,FALSE)</f>
        <v>0</v>
      </c>
      <c r="C109" s="834"/>
      <c r="D109" s="33">
        <f>IF(A109&gt;0,form!$Q$21,0)</f>
        <v>0</v>
      </c>
      <c r="E109" s="33">
        <f>VLOOKUP($A$7:$A$207,'DB'!$A$4:$E$200,3,FALSE)</f>
        <v>0</v>
      </c>
      <c r="J109" s="25" t="s">
        <v>606</v>
      </c>
    </row>
    <row r="110" spans="1:10" ht="13.5" customHeight="1">
      <c r="A110" s="103">
        <f>IF(Abfrage!$C$143="RAL7043 Verkehrsgrau B",'DB'!A6,0)</f>
        <v>0</v>
      </c>
      <c r="B110" s="834">
        <f>VLOOKUP($A$7:$A$207,'DB'!$A$2:$E$200,2,FALSE)</f>
        <v>0</v>
      </c>
      <c r="C110" s="834"/>
      <c r="D110" s="33">
        <f>IF(A110&gt;0,form!$Q$21,0)</f>
        <v>0</v>
      </c>
      <c r="E110" s="33">
        <f>VLOOKUP($A$7:$A$207,'DB'!$A$4:$E$200,3,FALSE)</f>
        <v>0</v>
      </c>
      <c r="J110" s="25" t="s">
        <v>607</v>
      </c>
    </row>
    <row r="111" spans="1:10" ht="13.5" customHeight="1">
      <c r="A111" s="103">
        <f>IF(Abfrage!$C$143="RAL9010 Reinweiss",'DB'!A7,0)</f>
        <v>0</v>
      </c>
      <c r="B111" s="834">
        <f>VLOOKUP($A$7:$A$207,'DB'!$A$2:$E$200,2,FALSE)</f>
        <v>0</v>
      </c>
      <c r="C111" s="834"/>
      <c r="D111" s="33">
        <f>IF(A111&gt;0,form!$Q$21,0)</f>
        <v>0</v>
      </c>
      <c r="E111" s="33">
        <f>VLOOKUP($A$7:$A$207,'DB'!$A$4:$E$200,3,FALSE)</f>
        <v>0</v>
      </c>
      <c r="J111" s="25" t="s">
        <v>608</v>
      </c>
    </row>
    <row r="112" spans="1:10" ht="13.5" customHeight="1">
      <c r="A112" s="103">
        <f>IF(Abfrage!$C$143="RAL9023 Cremeweiss",'DB'!A8,0)</f>
        <v>0</v>
      </c>
      <c r="B112" s="834">
        <f>VLOOKUP($A$7:$A$207,'DB'!$A$2:$E$200,2,FALSE)</f>
        <v>0</v>
      </c>
      <c r="C112" s="834"/>
      <c r="D112" s="33">
        <f>IF(A112&gt;0,form!$Q$21,0)</f>
        <v>0</v>
      </c>
      <c r="E112" s="33">
        <f>VLOOKUP($A$7:$A$207,'DB'!$A$4:$E$200,3,FALSE)</f>
        <v>0</v>
      </c>
      <c r="J112" s="25" t="s">
        <v>609</v>
      </c>
    </row>
    <row r="113" spans="1:10" ht="13.5" customHeight="1">
      <c r="A113" s="103">
        <f>IF(Abfrage!$C$143="RAL9005 Tiefschwarz",'DB'!A9,0)</f>
        <v>0</v>
      </c>
      <c r="B113" s="834">
        <f>VLOOKUP($A$7:$A$207,'DB'!$A$2:$E$200,2,FALSE)</f>
        <v>0</v>
      </c>
      <c r="C113" s="834"/>
      <c r="D113" s="33">
        <f>IF(A113&gt;0,form!$Q$21,0)</f>
        <v>0</v>
      </c>
      <c r="E113" s="33">
        <f>VLOOKUP($A$7:$A$207,'DB'!$A$4:$E$200,3,FALSE)</f>
        <v>0</v>
      </c>
      <c r="J113" s="25" t="s">
        <v>610</v>
      </c>
    </row>
    <row r="114" spans="1:10" ht="13.5" customHeight="1">
      <c r="A114" s="103">
        <f>IF(Abfrage!$C$143="RAL9006 Weissaluminium",'DB'!A10,0)</f>
        <v>0</v>
      </c>
      <c r="B114" s="834">
        <f>VLOOKUP($A$7:$A$207,'DB'!$A$2:$E$200,2,FALSE)</f>
        <v>0</v>
      </c>
      <c r="C114" s="834"/>
      <c r="D114" s="33">
        <f>IF(A114&gt;0,form!$Q$21,0)</f>
        <v>0</v>
      </c>
      <c r="E114" s="33">
        <f>VLOOKUP($A$7:$A$207,'DB'!$A$4:$E$200,3,FALSE)</f>
        <v>0</v>
      </c>
      <c r="J114" s="25" t="s">
        <v>611</v>
      </c>
    </row>
    <row r="115" spans="1:10" ht="13.5" customHeight="1">
      <c r="A115" s="103">
        <f>IF(Abfrage!$C$143="RAL5013",'DB'!A11,0)</f>
        <v>0</v>
      </c>
      <c r="B115" s="834">
        <f>VLOOKUP($A$7:$A$207,'DB'!$A$2:$E$200,2,FALSE)</f>
        <v>0</v>
      </c>
      <c r="C115" s="834"/>
      <c r="D115" s="33">
        <f>IF(A115&gt;0,form!$Q$21,0)</f>
        <v>0</v>
      </c>
      <c r="E115" s="33">
        <f>VLOOKUP($A$7:$A$207,'DB'!$A$4:$E$200,3,FALSE)</f>
        <v>0</v>
      </c>
      <c r="J115" s="25"/>
    </row>
    <row r="116" spans="1:10" ht="13.5" customHeight="1">
      <c r="A116" s="103">
        <f>IF(Abfrage!$C$143="RAL5014",'DB'!A12,0)</f>
        <v>0</v>
      </c>
      <c r="B116" s="834">
        <f>VLOOKUP($A$7:$A$207,'DB'!$A$2:$E$200,2,FALSE)</f>
        <v>0</v>
      </c>
      <c r="C116" s="834"/>
      <c r="D116" s="33">
        <f>IF(A116&gt;0,form!$Q$21,0)</f>
        <v>0</v>
      </c>
      <c r="E116" s="33">
        <f>VLOOKUP($A$7:$A$207,'DB'!$A$4:$E$200,3,FALSE)</f>
        <v>0</v>
      </c>
      <c r="J116" s="25"/>
    </row>
    <row r="117" spans="1:10" ht="13.5" customHeight="1">
      <c r="A117" s="103">
        <f>IF(Abfrage!$C$143="RAL5021",'DB'!A13,0)</f>
        <v>0</v>
      </c>
      <c r="B117" s="834">
        <f>VLOOKUP($A$7:$A$207,'DB'!$A$2:$E$200,2,FALSE)</f>
        <v>0</v>
      </c>
      <c r="C117" s="834"/>
      <c r="D117" s="33">
        <f>IF(A117&gt;0,form!$Q$21,0)</f>
        <v>0</v>
      </c>
      <c r="E117" s="33">
        <f>VLOOKUP($A$7:$A$207,'DB'!$A$4:$E$200,3,FALSE)</f>
        <v>0</v>
      </c>
      <c r="J117" s="25"/>
    </row>
    <row r="118" spans="1:10" ht="13.5" customHeight="1">
      <c r="A118" s="103">
        <f>IF(Abfrage!$C$143="RAL6005",'DB'!A2,0)</f>
        <v>0</v>
      </c>
      <c r="B118" s="834">
        <f>VLOOKUP($A$7:$A$207,'DB'!$A$2:$E$200,2,FALSE)</f>
        <v>0</v>
      </c>
      <c r="C118" s="834"/>
      <c r="D118" s="33">
        <f>IF(A118&gt;0,form!$Q$21,0)</f>
        <v>0</v>
      </c>
      <c r="E118" s="33">
        <f>VLOOKUP($A$7:$A$207,'DB'!$A$4:$E$200,3,FALSE)</f>
        <v>0</v>
      </c>
      <c r="J118" s="25"/>
    </row>
    <row r="119" spans="1:10" ht="13.5" customHeight="1">
      <c r="A119" s="103">
        <f>IF(Abfrage!$C$143="RAL6010",'DB'!A3,0)</f>
        <v>0</v>
      </c>
      <c r="B119" s="834">
        <f>VLOOKUP($A$7:$A$207,'DB'!$A$2:$E$200,2,FALSE)</f>
        <v>0</v>
      </c>
      <c r="C119" s="834"/>
      <c r="D119" s="33">
        <f>IF(A119&gt;0,form!$Q$21,0)</f>
        <v>0</v>
      </c>
      <c r="E119" s="33">
        <f>VLOOKUP($A$7:$A$207,'DB'!$A$4:$E$200,3,FALSE)</f>
        <v>0</v>
      </c>
      <c r="J119" s="25"/>
    </row>
    <row r="120" spans="1:10" ht="13.5" customHeight="1">
      <c r="A120" s="103">
        <f>IF(Abfrage!$C$143="RAL6024",'DB'!A4,0)</f>
        <v>0</v>
      </c>
      <c r="B120" s="834">
        <f>VLOOKUP($A$7:$A$207,'DB'!$A$2:$E$200,2,FALSE)</f>
        <v>0</v>
      </c>
      <c r="C120" s="834"/>
      <c r="D120" s="33">
        <f>IF(A120&gt;0,form!$Q$21,0)</f>
        <v>0</v>
      </c>
      <c r="E120" s="33">
        <f>VLOOKUP($A$7:$A$207,'DB'!$A$4:$E$200,3,FALSE)</f>
        <v>0</v>
      </c>
      <c r="J120" s="25"/>
    </row>
    <row r="121" spans="1:10" ht="13.5" customHeight="1">
      <c r="A121" s="103">
        <f>IF(Abfrage!$C$143="RAL7035",'DB'!A5,0)</f>
        <v>0</v>
      </c>
      <c r="B121" s="834">
        <f>VLOOKUP($A$7:$A$207,'DB'!$A$2:$E$200,2,FALSE)</f>
        <v>0</v>
      </c>
      <c r="C121" s="834"/>
      <c r="D121" s="33">
        <f>IF(A121&gt;0,form!$Q$21,0)</f>
        <v>0</v>
      </c>
      <c r="E121" s="33">
        <f>VLOOKUP($A$7:$A$207,'DB'!$A$4:$E$200,3,FALSE)</f>
        <v>0</v>
      </c>
      <c r="J121" s="25"/>
    </row>
    <row r="122" spans="1:10" ht="13.5" customHeight="1">
      <c r="A122" s="103">
        <f>IF(Abfrage!$C$143="RAL7042",'DB'!A6,0)</f>
        <v>0</v>
      </c>
      <c r="B122" s="834">
        <f>VLOOKUP($A$7:$A$207,'DB'!$A$2:$E$200,2,FALSE)</f>
        <v>0</v>
      </c>
      <c r="C122" s="834"/>
      <c r="D122" s="33">
        <f>IF(A122&gt;0,form!$Q$21,0)</f>
        <v>0</v>
      </c>
      <c r="E122" s="33">
        <f>VLOOKUP($A$7:$A$207,'DB'!$A$4:$E$200,3,FALSE)</f>
        <v>0</v>
      </c>
      <c r="J122" s="25"/>
    </row>
    <row r="123" spans="1:10" ht="13.5" customHeight="1">
      <c r="A123" s="103">
        <f>IF(Abfrage!$C$143="RAL7043",'DB'!#REF!,0)</f>
        <v>0</v>
      </c>
      <c r="B123" s="834">
        <f>VLOOKUP($A$7:$A$207,'DB'!$A$2:$E$200,2,FALSE)</f>
        <v>0</v>
      </c>
      <c r="C123" s="834"/>
      <c r="D123" s="33">
        <f>IF(A123&gt;0,form!$Q$21,0)</f>
        <v>0</v>
      </c>
      <c r="E123" s="33">
        <f>VLOOKUP($A$7:$A$207,'DB'!$A$4:$E$200,3,FALSE)</f>
        <v>0</v>
      </c>
      <c r="J123" s="25"/>
    </row>
    <row r="124" spans="1:10" ht="13.5" customHeight="1">
      <c r="A124" s="103">
        <f>IF(Abfrage!$C$143="RAL9001",'DB'!A8,0)</f>
        <v>0</v>
      </c>
      <c r="B124" s="834">
        <f>VLOOKUP($A$7:$A$207,'DB'!$A$2:$E$200,2,FALSE)</f>
        <v>0</v>
      </c>
      <c r="C124" s="834"/>
      <c r="D124" s="33">
        <f>IF(A124&gt;0,form!$Q$21,0)</f>
        <v>0</v>
      </c>
      <c r="E124" s="33">
        <f>VLOOKUP($A$7:$A$207,'DB'!$A$4:$E$200,3,FALSE)</f>
        <v>0</v>
      </c>
      <c r="J124" s="25"/>
    </row>
    <row r="125" spans="1:10" ht="13.5" customHeight="1">
      <c r="A125" s="103">
        <f>IF(Abfrage!$C$143="RAL9005",'DB'!A9,0)</f>
        <v>0</v>
      </c>
      <c r="B125" s="834">
        <f>VLOOKUP($A$7:$A$207,'DB'!$A$2:$E$200,2,FALSE)</f>
        <v>0</v>
      </c>
      <c r="C125" s="834"/>
      <c r="D125" s="33">
        <f>IF(A125&gt;0,form!$Q$21,0)</f>
        <v>0</v>
      </c>
      <c r="E125" s="33">
        <f>VLOOKUP($A$7:$A$207,'DB'!$A$4:$E$200,3,FALSE)</f>
        <v>0</v>
      </c>
      <c r="J125" s="25"/>
    </row>
    <row r="126" spans="1:10" ht="13.5" customHeight="1">
      <c r="A126" s="103">
        <f>IF(Abfrage!$C$143="RAL9006",'DB'!A10,0)</f>
        <v>0</v>
      </c>
      <c r="B126" s="834">
        <f>VLOOKUP($A$7:$A$207,'DB'!$A$2:$E$200,2,FALSE)</f>
        <v>0</v>
      </c>
      <c r="C126" s="834"/>
      <c r="D126" s="33">
        <f>IF(A126&gt;0,form!$Q$21,0)</f>
        <v>0</v>
      </c>
      <c r="E126" s="33">
        <f>VLOOKUP($A$7:$A$207,'DB'!$A$4:$E$200,3,FALSE)</f>
        <v>0</v>
      </c>
      <c r="J126" s="25"/>
    </row>
    <row r="127" spans="1:10" ht="13.5" customHeight="1">
      <c r="A127" s="103">
        <f>IF(Abfrage!$C$143="RAL9010",'DB'!A7,0)</f>
        <v>0</v>
      </c>
      <c r="B127" s="834">
        <f>VLOOKUP($A$7:$A$207,'DB'!$A$2:$E$200,2,FALSE)</f>
        <v>0</v>
      </c>
      <c r="C127" s="834"/>
      <c r="D127" s="33">
        <f>IF(A127&gt;0,form!$Q$21,0)</f>
        <v>0</v>
      </c>
      <c r="E127" s="33">
        <f>VLOOKUP($A$7:$A$207,'DB'!$A$4:$E$200,3,FALSE)</f>
        <v>0</v>
      </c>
      <c r="J127" s="25"/>
    </row>
    <row r="128" spans="1:10" ht="13.5" customHeight="1">
      <c r="A128" s="103">
        <f>IF(Abfrage!$C$143="RAL9017",'DB'!A24,0)</f>
        <v>0</v>
      </c>
      <c r="B128" s="834">
        <f>VLOOKUP($A$7:$A$207,'DB'!$A$2:$E$200,2,FALSE)</f>
        <v>0</v>
      </c>
      <c r="C128" s="834"/>
      <c r="D128" s="33">
        <f>IF(A128&gt;0,form!$Q$21,0)</f>
        <v>0</v>
      </c>
      <c r="E128" s="33">
        <f>VLOOKUP($A$7:$A$207,'DB'!$A$4:$E$200,3,FALSE)</f>
        <v>0</v>
      </c>
      <c r="J128" s="25"/>
    </row>
    <row r="129" spans="1:10" ht="13.5" customHeight="1">
      <c r="A129" s="577">
        <f>IF((Abfrage!B48+Abfrage!B52)&gt;0,'DB'!A98,0)</f>
        <v>0</v>
      </c>
      <c r="B129" s="834">
        <f>VLOOKUP($A$7:$A$207,'DB'!$A$2:$E$200,2,FALSE)</f>
        <v>0</v>
      </c>
      <c r="C129" s="834"/>
      <c r="D129" s="33">
        <f>IF(A129&gt;0,1,0)</f>
        <v>0</v>
      </c>
      <c r="E129" s="33">
        <f>VLOOKUP($A$7:$A$207,'DB'!$A$4:$E$200,3,FALSE)</f>
        <v>0</v>
      </c>
      <c r="F129" t="s">
        <v>201</v>
      </c>
      <c r="J129" s="25" t="s">
        <v>200</v>
      </c>
    </row>
    <row r="130" spans="2:3" ht="12.75">
      <c r="B130" s="834"/>
      <c r="C130" s="834"/>
    </row>
    <row r="131" spans="2:3" ht="12.75">
      <c r="B131" s="834"/>
      <c r="C131" s="834"/>
    </row>
    <row r="132" spans="2:3" ht="12.75">
      <c r="B132" s="834"/>
      <c r="C132" s="834"/>
    </row>
    <row r="133" spans="2:3" ht="12.75">
      <c r="B133" s="834"/>
      <c r="C133" s="834"/>
    </row>
    <row r="134" spans="2:3" ht="12.75">
      <c r="B134" s="834"/>
      <c r="C134" s="834"/>
    </row>
    <row r="135" spans="2:3" ht="12.75">
      <c r="B135" s="834"/>
      <c r="C135" s="834"/>
    </row>
    <row r="136" spans="2:3" ht="12.75">
      <c r="B136" s="834"/>
      <c r="C136" s="834"/>
    </row>
  </sheetData>
  <sheetProtection/>
  <autoFilter ref="A7:A129"/>
  <mergeCells count="135">
    <mergeCell ref="J21:J27"/>
    <mergeCell ref="J14:J20"/>
    <mergeCell ref="B15:C15"/>
    <mergeCell ref="B16:C16"/>
    <mergeCell ref="B17:C17"/>
    <mergeCell ref="B14:C14"/>
    <mergeCell ref="B18:C18"/>
    <mergeCell ref="B19:C19"/>
    <mergeCell ref="B20:C20"/>
    <mergeCell ref="B24:C24"/>
    <mergeCell ref="B135:C135"/>
    <mergeCell ref="B136:C136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B123:C123"/>
    <mergeCell ref="B124:C124"/>
    <mergeCell ref="B125:C125"/>
    <mergeCell ref="B126:C126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2:C112"/>
    <mergeCell ref="B113:C113"/>
    <mergeCell ref="B114:C114"/>
    <mergeCell ref="B108:C108"/>
    <mergeCell ref="B109:C109"/>
    <mergeCell ref="B110:C110"/>
    <mergeCell ref="B111:C111"/>
    <mergeCell ref="B104:C104"/>
    <mergeCell ref="B105:C105"/>
    <mergeCell ref="B106:C106"/>
    <mergeCell ref="B107:C107"/>
    <mergeCell ref="B100:C100"/>
    <mergeCell ref="B101:C101"/>
    <mergeCell ref="B102:C102"/>
    <mergeCell ref="B103:C103"/>
    <mergeCell ref="B96:C96"/>
    <mergeCell ref="B97:C97"/>
    <mergeCell ref="B98:C98"/>
    <mergeCell ref="B99:C99"/>
    <mergeCell ref="B92:C92"/>
    <mergeCell ref="B93:C93"/>
    <mergeCell ref="B94:C94"/>
    <mergeCell ref="B95:C95"/>
    <mergeCell ref="B88:C88"/>
    <mergeCell ref="B89:C89"/>
    <mergeCell ref="B90:C90"/>
    <mergeCell ref="B91:C91"/>
    <mergeCell ref="B84:C84"/>
    <mergeCell ref="B85:C85"/>
    <mergeCell ref="B86:C86"/>
    <mergeCell ref="B87:C87"/>
    <mergeCell ref="B80:C80"/>
    <mergeCell ref="B81:C81"/>
    <mergeCell ref="B82:C82"/>
    <mergeCell ref="B83:C83"/>
    <mergeCell ref="B76:C76"/>
    <mergeCell ref="B77:C77"/>
    <mergeCell ref="B78:C78"/>
    <mergeCell ref="B79:C79"/>
    <mergeCell ref="B72:C72"/>
    <mergeCell ref="B73:C73"/>
    <mergeCell ref="B74:C74"/>
    <mergeCell ref="B75:C75"/>
    <mergeCell ref="B68:C68"/>
    <mergeCell ref="B69:C69"/>
    <mergeCell ref="B70:C70"/>
    <mergeCell ref="B71:C71"/>
    <mergeCell ref="B64:C64"/>
    <mergeCell ref="B65:C65"/>
    <mergeCell ref="B66:C66"/>
    <mergeCell ref="B67:C67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5:C25"/>
    <mergeCell ref="B26:C26"/>
    <mergeCell ref="B27:C27"/>
    <mergeCell ref="B13:C13"/>
    <mergeCell ref="B21:C21"/>
    <mergeCell ref="B22:C22"/>
    <mergeCell ref="B23:C23"/>
    <mergeCell ref="B9:C9"/>
    <mergeCell ref="B10:C10"/>
    <mergeCell ref="B11:C11"/>
    <mergeCell ref="B12:C12"/>
    <mergeCell ref="A1:B1"/>
    <mergeCell ref="A2:D3"/>
    <mergeCell ref="B7:C7"/>
    <mergeCell ref="B8:C8"/>
    <mergeCell ref="D1:E1"/>
  </mergeCells>
  <conditionalFormatting sqref="J115:J129">
    <cfRule type="expression" priority="1" dxfId="0" stopIfTrue="1">
      <formula>COUNTIF(J115:J409,J115)&gt;1</formula>
    </cfRule>
    <cfRule type="cellIs" priority="2" dxfId="1" operator="between" stopIfTrue="1">
      <formula>9206000000</formula>
      <formula>9206100000</formula>
    </cfRule>
  </conditionalFormatting>
  <conditionalFormatting sqref="J106:J114">
    <cfRule type="expression" priority="3" dxfId="0" stopIfTrue="1">
      <formula>COUNTIF(J106:J401,J106)&gt;1</formula>
    </cfRule>
    <cfRule type="cellIs" priority="4" dxfId="1" operator="between" stopIfTrue="1">
      <formula>9206000000</formula>
      <formula>9206100000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O73"/>
  <sheetViews>
    <sheetView workbookViewId="0" topLeftCell="A1">
      <selection activeCell="E4" sqref="E4:M4"/>
    </sheetView>
  </sheetViews>
  <sheetFormatPr defaultColWidth="11.421875" defaultRowHeight="12.75"/>
  <cols>
    <col min="1" max="4" width="6.7109375" style="0" customWidth="1"/>
    <col min="5" max="5" width="9.57421875" style="0" customWidth="1"/>
    <col min="6" max="12" width="6.7109375" style="0" customWidth="1"/>
    <col min="13" max="13" width="4.8515625" style="0" customWidth="1"/>
    <col min="14" max="14" width="6.7109375" style="0" customWidth="1"/>
  </cols>
  <sheetData>
    <row r="1" spans="1:12" ht="15" customHeight="1">
      <c r="A1" s="856" t="s">
        <v>174</v>
      </c>
      <c r="B1" s="857"/>
      <c r="C1" s="857"/>
      <c r="D1" s="857"/>
      <c r="E1" s="857"/>
      <c r="F1" s="857"/>
      <c r="G1" s="858"/>
      <c r="H1" s="865"/>
      <c r="I1" s="866"/>
      <c r="J1" s="866"/>
      <c r="K1" s="866"/>
      <c r="L1" s="867"/>
    </row>
    <row r="2" spans="1:12" ht="15" customHeight="1">
      <c r="A2" s="859"/>
      <c r="B2" s="860"/>
      <c r="C2" s="860"/>
      <c r="D2" s="860"/>
      <c r="E2" s="860"/>
      <c r="F2" s="860"/>
      <c r="G2" s="861"/>
      <c r="H2" s="868"/>
      <c r="I2" s="869"/>
      <c r="J2" s="869"/>
      <c r="K2" s="869"/>
      <c r="L2" s="870"/>
    </row>
    <row r="3" spans="1:12" ht="15" customHeight="1">
      <c r="A3" s="862"/>
      <c r="B3" s="863"/>
      <c r="C3" s="863"/>
      <c r="D3" s="863"/>
      <c r="E3" s="863"/>
      <c r="F3" s="863"/>
      <c r="G3" s="864"/>
      <c r="H3" s="871"/>
      <c r="I3" s="872"/>
      <c r="J3" s="872"/>
      <c r="K3" s="872"/>
      <c r="L3" s="873"/>
    </row>
    <row r="4" spans="1:12" ht="15" customHeight="1">
      <c r="A4" s="877" t="s">
        <v>177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866"/>
    </row>
    <row r="5" spans="1:12" ht="15" customHeight="1">
      <c r="A5" s="854" t="s">
        <v>175</v>
      </c>
      <c r="B5" s="855"/>
      <c r="C5" s="874">
        <f>Checkliste!$M$9</f>
        <v>0</v>
      </c>
      <c r="D5" s="874"/>
      <c r="E5" s="875"/>
      <c r="F5" s="520"/>
      <c r="G5" s="521"/>
      <c r="H5" s="878" t="s">
        <v>178</v>
      </c>
      <c r="I5" s="879"/>
      <c r="J5" s="880">
        <f ca="1">TODAY()</f>
        <v>39517</v>
      </c>
      <c r="K5" s="874"/>
      <c r="L5" s="875"/>
    </row>
    <row r="6" spans="1:12" ht="15" customHeight="1">
      <c r="A6" s="854" t="s">
        <v>176</v>
      </c>
      <c r="B6" s="855"/>
      <c r="C6" s="876">
        <f>Checkliste!$AD$4</f>
        <v>0</v>
      </c>
      <c r="D6" s="874"/>
      <c r="E6" s="875"/>
      <c r="F6" s="522"/>
      <c r="G6" s="523"/>
      <c r="H6" s="878" t="s">
        <v>179</v>
      </c>
      <c r="I6" s="879"/>
      <c r="J6" s="876">
        <f>Checkliste!T90</f>
        <v>0</v>
      </c>
      <c r="K6" s="876"/>
      <c r="L6" s="881"/>
    </row>
    <row r="7" spans="1:12" ht="15" customHeight="1">
      <c r="A7" s="524"/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</row>
    <row r="8" spans="1:5" ht="15" customHeight="1">
      <c r="A8" s="847" t="s">
        <v>180</v>
      </c>
      <c r="B8" s="847"/>
      <c r="C8" s="847"/>
      <c r="D8" s="847"/>
      <c r="E8" s="847"/>
    </row>
    <row r="9" spans="1:13" ht="15" customHeight="1" thickBot="1">
      <c r="A9" s="851" t="s">
        <v>921</v>
      </c>
      <c r="B9" s="851"/>
      <c r="C9" s="851"/>
      <c r="D9" s="851"/>
      <c r="E9" s="851"/>
      <c r="F9" s="847" t="s">
        <v>182</v>
      </c>
      <c r="G9" s="847"/>
      <c r="H9" s="847"/>
      <c r="I9" s="847" t="s">
        <v>140</v>
      </c>
      <c r="J9" s="847"/>
      <c r="K9" s="847" t="s">
        <v>181</v>
      </c>
      <c r="L9" s="847"/>
      <c r="M9">
        <f>IF(SUM(K10:K14)&gt;0,1,0)</f>
        <v>0</v>
      </c>
    </row>
    <row r="10" spans="1:13" ht="15" customHeight="1">
      <c r="A10" s="853" t="s">
        <v>183</v>
      </c>
      <c r="B10" s="853"/>
      <c r="C10" s="853"/>
      <c r="D10" s="853"/>
      <c r="E10" s="853"/>
      <c r="F10" s="852" t="s">
        <v>75</v>
      </c>
      <c r="G10" s="852"/>
      <c r="H10" s="852"/>
      <c r="I10" s="850"/>
      <c r="J10" s="841"/>
      <c r="K10" s="841"/>
      <c r="L10" s="842"/>
      <c r="M10">
        <f>IF(K10&gt;0,1,0)</f>
        <v>0</v>
      </c>
    </row>
    <row r="11" spans="1:13" ht="15" customHeight="1">
      <c r="A11" s="853" t="s">
        <v>184</v>
      </c>
      <c r="B11" s="853"/>
      <c r="C11" s="853"/>
      <c r="D11" s="853"/>
      <c r="E11" s="853"/>
      <c r="F11" s="852" t="s">
        <v>78</v>
      </c>
      <c r="G11" s="852"/>
      <c r="H11" s="852"/>
      <c r="I11" s="848"/>
      <c r="J11" s="843"/>
      <c r="K11" s="843"/>
      <c r="L11" s="844"/>
      <c r="M11">
        <f aca="true" t="shared" si="0" ref="M11:M73">IF(K11&gt;0,1,0)</f>
        <v>0</v>
      </c>
    </row>
    <row r="12" spans="1:13" ht="15" customHeight="1">
      <c r="A12" s="853" t="s">
        <v>185</v>
      </c>
      <c r="B12" s="853"/>
      <c r="C12" s="853"/>
      <c r="D12" s="853"/>
      <c r="E12" s="853"/>
      <c r="F12" s="852" t="s">
        <v>79</v>
      </c>
      <c r="G12" s="852"/>
      <c r="H12" s="852"/>
      <c r="I12" s="848"/>
      <c r="J12" s="843"/>
      <c r="K12" s="843"/>
      <c r="L12" s="844"/>
      <c r="M12">
        <f t="shared" si="0"/>
        <v>0</v>
      </c>
    </row>
    <row r="13" spans="1:13" ht="15" customHeight="1">
      <c r="A13" s="852"/>
      <c r="B13" s="852"/>
      <c r="C13" s="852"/>
      <c r="D13" s="852"/>
      <c r="E13" s="852"/>
      <c r="F13" s="852"/>
      <c r="G13" s="852"/>
      <c r="H13" s="852"/>
      <c r="I13" s="848"/>
      <c r="J13" s="843"/>
      <c r="K13" s="843"/>
      <c r="L13" s="844"/>
      <c r="M13">
        <f t="shared" si="0"/>
        <v>0</v>
      </c>
    </row>
    <row r="14" spans="1:13" ht="15" customHeight="1" thickBot="1">
      <c r="A14" s="852"/>
      <c r="B14" s="852"/>
      <c r="C14" s="852"/>
      <c r="D14" s="852"/>
      <c r="E14" s="852"/>
      <c r="F14" s="852"/>
      <c r="G14" s="852"/>
      <c r="H14" s="852"/>
      <c r="I14" s="849"/>
      <c r="J14" s="845"/>
      <c r="K14" s="845"/>
      <c r="L14" s="846"/>
      <c r="M14">
        <f t="shared" si="0"/>
        <v>0</v>
      </c>
    </row>
    <row r="15" spans="1:13" ht="15" customHeight="1" thickBot="1">
      <c r="A15" s="851" t="s">
        <v>924</v>
      </c>
      <c r="B15" s="851"/>
      <c r="C15" s="851"/>
      <c r="D15" s="851"/>
      <c r="E15" s="851"/>
      <c r="F15" s="847" t="s">
        <v>182</v>
      </c>
      <c r="G15" s="847"/>
      <c r="H15" s="847"/>
      <c r="I15" s="847" t="s">
        <v>140</v>
      </c>
      <c r="J15" s="847"/>
      <c r="K15" s="847" t="s">
        <v>181</v>
      </c>
      <c r="L15" s="847"/>
      <c r="M15">
        <f>IF(SUM(K16:K20)&gt;0,1,0)</f>
        <v>0</v>
      </c>
    </row>
    <row r="16" spans="1:13" ht="15" customHeight="1">
      <c r="A16" s="853" t="s">
        <v>183</v>
      </c>
      <c r="B16" s="853"/>
      <c r="C16" s="853"/>
      <c r="D16" s="853"/>
      <c r="E16" s="853"/>
      <c r="F16" s="852" t="s">
        <v>107</v>
      </c>
      <c r="G16" s="852"/>
      <c r="H16" s="852"/>
      <c r="I16" s="850"/>
      <c r="J16" s="841"/>
      <c r="K16" s="841"/>
      <c r="L16" s="842"/>
      <c r="M16">
        <f t="shared" si="0"/>
        <v>0</v>
      </c>
    </row>
    <row r="17" spans="1:13" ht="15" customHeight="1">
      <c r="A17" s="853" t="s">
        <v>184</v>
      </c>
      <c r="B17" s="853"/>
      <c r="C17" s="853"/>
      <c r="D17" s="853"/>
      <c r="E17" s="853"/>
      <c r="F17" s="852" t="s">
        <v>109</v>
      </c>
      <c r="G17" s="852"/>
      <c r="H17" s="852"/>
      <c r="I17" s="848"/>
      <c r="J17" s="843"/>
      <c r="K17" s="843"/>
      <c r="L17" s="844"/>
      <c r="M17">
        <f t="shared" si="0"/>
        <v>0</v>
      </c>
    </row>
    <row r="18" spans="1:13" ht="15" customHeight="1">
      <c r="A18" s="853" t="s">
        <v>185</v>
      </c>
      <c r="B18" s="853"/>
      <c r="C18" s="853"/>
      <c r="D18" s="853"/>
      <c r="E18" s="853"/>
      <c r="F18" s="852" t="s">
        <v>110</v>
      </c>
      <c r="G18" s="852"/>
      <c r="H18" s="852"/>
      <c r="I18" s="848"/>
      <c r="J18" s="843"/>
      <c r="K18" s="843"/>
      <c r="L18" s="844"/>
      <c r="M18">
        <f t="shared" si="0"/>
        <v>0</v>
      </c>
    </row>
    <row r="19" spans="1:13" ht="15" customHeight="1">
      <c r="A19" s="852"/>
      <c r="B19" s="852"/>
      <c r="C19" s="852"/>
      <c r="D19" s="852"/>
      <c r="E19" s="852"/>
      <c r="F19" s="852"/>
      <c r="G19" s="852"/>
      <c r="H19" s="852"/>
      <c r="I19" s="848"/>
      <c r="J19" s="843"/>
      <c r="K19" s="843"/>
      <c r="L19" s="844"/>
      <c r="M19">
        <f t="shared" si="0"/>
        <v>0</v>
      </c>
    </row>
    <row r="20" spans="1:13" ht="15" customHeight="1" thickBot="1">
      <c r="A20" s="852"/>
      <c r="B20" s="852"/>
      <c r="C20" s="852"/>
      <c r="D20" s="852"/>
      <c r="E20" s="852"/>
      <c r="F20" s="852"/>
      <c r="G20" s="852"/>
      <c r="H20" s="852"/>
      <c r="I20" s="849"/>
      <c r="J20" s="845"/>
      <c r="K20" s="845"/>
      <c r="L20" s="846"/>
      <c r="M20">
        <f t="shared" si="0"/>
        <v>0</v>
      </c>
    </row>
    <row r="21" spans="1:13" ht="15" customHeight="1" thickBot="1">
      <c r="A21" s="851" t="s">
        <v>922</v>
      </c>
      <c r="B21" s="851"/>
      <c r="C21" s="851"/>
      <c r="D21" s="851"/>
      <c r="E21" s="851"/>
      <c r="F21" s="847" t="s">
        <v>182</v>
      </c>
      <c r="G21" s="847"/>
      <c r="H21" s="847"/>
      <c r="I21" s="847" t="s">
        <v>140</v>
      </c>
      <c r="J21" s="847"/>
      <c r="K21" s="847" t="s">
        <v>181</v>
      </c>
      <c r="L21" s="847"/>
      <c r="M21">
        <f>IF(SUM(K22:K28)&gt;0,1,0)</f>
        <v>0</v>
      </c>
    </row>
    <row r="22" spans="1:13" ht="15" customHeight="1">
      <c r="A22" s="853" t="s">
        <v>186</v>
      </c>
      <c r="B22" s="853"/>
      <c r="C22" s="853"/>
      <c r="D22" s="853"/>
      <c r="E22" s="853"/>
      <c r="F22" s="852" t="s">
        <v>80</v>
      </c>
      <c r="G22" s="852"/>
      <c r="H22" s="852"/>
      <c r="I22" s="850"/>
      <c r="J22" s="841"/>
      <c r="K22" s="841"/>
      <c r="L22" s="842"/>
      <c r="M22">
        <f t="shared" si="0"/>
        <v>0</v>
      </c>
    </row>
    <row r="23" spans="1:13" ht="15" customHeight="1">
      <c r="A23" s="853" t="s">
        <v>187</v>
      </c>
      <c r="B23" s="853"/>
      <c r="C23" s="853"/>
      <c r="D23" s="853"/>
      <c r="E23" s="853"/>
      <c r="F23" s="852" t="s">
        <v>81</v>
      </c>
      <c r="G23" s="852"/>
      <c r="H23" s="852"/>
      <c r="I23" s="848"/>
      <c r="J23" s="843"/>
      <c r="K23" s="843"/>
      <c r="L23" s="844"/>
      <c r="M23">
        <f t="shared" si="0"/>
        <v>0</v>
      </c>
    </row>
    <row r="24" spans="1:13" ht="15" customHeight="1">
      <c r="A24" s="853" t="s">
        <v>185</v>
      </c>
      <c r="B24" s="853"/>
      <c r="C24" s="853"/>
      <c r="D24" s="853"/>
      <c r="E24" s="853"/>
      <c r="F24" s="852" t="s">
        <v>82</v>
      </c>
      <c r="G24" s="852"/>
      <c r="H24" s="852"/>
      <c r="I24" s="848"/>
      <c r="J24" s="843"/>
      <c r="K24" s="843"/>
      <c r="L24" s="844"/>
      <c r="M24">
        <f t="shared" si="0"/>
        <v>0</v>
      </c>
    </row>
    <row r="25" spans="1:13" ht="15" customHeight="1">
      <c r="A25" s="853" t="s">
        <v>89</v>
      </c>
      <c r="B25" s="853"/>
      <c r="C25" s="853"/>
      <c r="D25" s="853"/>
      <c r="E25" s="853"/>
      <c r="F25" s="852" t="s">
        <v>83</v>
      </c>
      <c r="G25" s="852"/>
      <c r="H25" s="852"/>
      <c r="I25" s="848"/>
      <c r="J25" s="843"/>
      <c r="K25" s="843"/>
      <c r="L25" s="844"/>
      <c r="M25">
        <f t="shared" si="0"/>
        <v>0</v>
      </c>
    </row>
    <row r="26" spans="1:15" ht="15" customHeight="1">
      <c r="A26" s="853" t="s">
        <v>90</v>
      </c>
      <c r="B26" s="853"/>
      <c r="C26" s="853"/>
      <c r="D26" s="853"/>
      <c r="E26" s="853"/>
      <c r="F26" s="852" t="s">
        <v>84</v>
      </c>
      <c r="G26" s="852"/>
      <c r="H26" s="852"/>
      <c r="I26" s="848"/>
      <c r="J26" s="843"/>
      <c r="K26" s="843"/>
      <c r="L26" s="844"/>
      <c r="M26">
        <f t="shared" si="0"/>
        <v>0</v>
      </c>
      <c r="O26" s="1"/>
    </row>
    <row r="27" spans="1:13" ht="15" customHeight="1">
      <c r="A27" s="853"/>
      <c r="B27" s="853"/>
      <c r="C27" s="853"/>
      <c r="D27" s="853"/>
      <c r="E27" s="853"/>
      <c r="F27" s="852"/>
      <c r="G27" s="852"/>
      <c r="H27" s="852"/>
      <c r="I27" s="848"/>
      <c r="J27" s="843"/>
      <c r="K27" s="843"/>
      <c r="L27" s="844"/>
      <c r="M27">
        <f t="shared" si="0"/>
        <v>0</v>
      </c>
    </row>
    <row r="28" spans="1:13" ht="15" customHeight="1" thickBot="1">
      <c r="A28" s="852"/>
      <c r="B28" s="852"/>
      <c r="C28" s="852"/>
      <c r="D28" s="852"/>
      <c r="E28" s="852"/>
      <c r="F28" s="852"/>
      <c r="G28" s="852"/>
      <c r="H28" s="852"/>
      <c r="I28" s="849"/>
      <c r="J28" s="845"/>
      <c r="K28" s="845"/>
      <c r="L28" s="846"/>
      <c r="M28">
        <f t="shared" si="0"/>
        <v>0</v>
      </c>
    </row>
    <row r="29" spans="1:13" ht="15" customHeight="1" thickBot="1">
      <c r="A29" s="851" t="s">
        <v>925</v>
      </c>
      <c r="B29" s="851"/>
      <c r="C29" s="851"/>
      <c r="D29" s="851"/>
      <c r="E29" s="851"/>
      <c r="F29" s="847" t="s">
        <v>182</v>
      </c>
      <c r="G29" s="847"/>
      <c r="H29" s="847"/>
      <c r="I29" s="847" t="s">
        <v>140</v>
      </c>
      <c r="J29" s="847"/>
      <c r="K29" s="847" t="s">
        <v>181</v>
      </c>
      <c r="L29" s="847"/>
      <c r="M29">
        <f>IF(SUM(K30:K36)&gt;0,1,0)</f>
        <v>0</v>
      </c>
    </row>
    <row r="30" spans="1:13" ht="15" customHeight="1">
      <c r="A30" s="853" t="s">
        <v>186</v>
      </c>
      <c r="B30" s="853"/>
      <c r="C30" s="853"/>
      <c r="D30" s="853"/>
      <c r="E30" s="853"/>
      <c r="F30" s="852" t="s">
        <v>112</v>
      </c>
      <c r="G30" s="852"/>
      <c r="H30" s="852"/>
      <c r="I30" s="850"/>
      <c r="J30" s="841"/>
      <c r="K30" s="841"/>
      <c r="L30" s="842"/>
      <c r="M30">
        <f t="shared" si="0"/>
        <v>0</v>
      </c>
    </row>
    <row r="31" spans="1:13" ht="15" customHeight="1">
      <c r="A31" s="853" t="s">
        <v>187</v>
      </c>
      <c r="B31" s="853"/>
      <c r="C31" s="853"/>
      <c r="D31" s="853"/>
      <c r="E31" s="853"/>
      <c r="F31" s="852" t="s">
        <v>114</v>
      </c>
      <c r="G31" s="852"/>
      <c r="H31" s="852"/>
      <c r="I31" s="848"/>
      <c r="J31" s="843"/>
      <c r="K31" s="843"/>
      <c r="L31" s="844"/>
      <c r="M31">
        <f t="shared" si="0"/>
        <v>0</v>
      </c>
    </row>
    <row r="32" spans="1:13" ht="15" customHeight="1">
      <c r="A32" s="853" t="s">
        <v>185</v>
      </c>
      <c r="B32" s="853"/>
      <c r="C32" s="853"/>
      <c r="D32" s="853"/>
      <c r="E32" s="853"/>
      <c r="F32" s="852" t="s">
        <v>115</v>
      </c>
      <c r="G32" s="852"/>
      <c r="H32" s="852"/>
      <c r="I32" s="848"/>
      <c r="J32" s="843"/>
      <c r="K32" s="843"/>
      <c r="L32" s="844"/>
      <c r="M32">
        <f t="shared" si="0"/>
        <v>0</v>
      </c>
    </row>
    <row r="33" spans="1:13" ht="15" customHeight="1">
      <c r="A33" s="853" t="s">
        <v>89</v>
      </c>
      <c r="B33" s="853"/>
      <c r="C33" s="853"/>
      <c r="D33" s="853"/>
      <c r="E33" s="853"/>
      <c r="F33" s="852" t="s">
        <v>117</v>
      </c>
      <c r="G33" s="852"/>
      <c r="H33" s="852"/>
      <c r="I33" s="848"/>
      <c r="J33" s="843"/>
      <c r="K33" s="843"/>
      <c r="L33" s="844"/>
      <c r="M33">
        <f t="shared" si="0"/>
        <v>0</v>
      </c>
    </row>
    <row r="34" spans="1:13" ht="15" customHeight="1">
      <c r="A34" s="853" t="s">
        <v>90</v>
      </c>
      <c r="B34" s="853"/>
      <c r="C34" s="853"/>
      <c r="D34" s="853"/>
      <c r="E34" s="853"/>
      <c r="F34" s="852" t="s">
        <v>118</v>
      </c>
      <c r="G34" s="852"/>
      <c r="H34" s="852"/>
      <c r="I34" s="848"/>
      <c r="J34" s="843"/>
      <c r="K34" s="843"/>
      <c r="L34" s="844"/>
      <c r="M34">
        <f t="shared" si="0"/>
        <v>0</v>
      </c>
    </row>
    <row r="35" spans="1:13" ht="15" customHeight="1">
      <c r="A35" s="852"/>
      <c r="B35" s="852"/>
      <c r="C35" s="852"/>
      <c r="D35" s="852"/>
      <c r="E35" s="852"/>
      <c r="F35" s="852"/>
      <c r="G35" s="852"/>
      <c r="H35" s="852"/>
      <c r="I35" s="848"/>
      <c r="J35" s="843"/>
      <c r="K35" s="843"/>
      <c r="L35" s="844"/>
      <c r="M35">
        <f t="shared" si="0"/>
        <v>0</v>
      </c>
    </row>
    <row r="36" spans="1:13" ht="15" customHeight="1" thickBot="1">
      <c r="A36" s="852"/>
      <c r="B36" s="852"/>
      <c r="C36" s="852"/>
      <c r="D36" s="852"/>
      <c r="E36" s="852"/>
      <c r="F36" s="852"/>
      <c r="G36" s="852"/>
      <c r="H36" s="852"/>
      <c r="I36" s="849"/>
      <c r="J36" s="845"/>
      <c r="K36" s="845"/>
      <c r="L36" s="846"/>
      <c r="M36">
        <f t="shared" si="0"/>
        <v>0</v>
      </c>
    </row>
    <row r="37" spans="1:13" ht="15" customHeight="1" thickBot="1">
      <c r="A37" s="851" t="s">
        <v>923</v>
      </c>
      <c r="B37" s="851"/>
      <c r="C37" s="851"/>
      <c r="D37" s="851"/>
      <c r="E37" s="851"/>
      <c r="F37" s="847" t="s">
        <v>182</v>
      </c>
      <c r="G37" s="847"/>
      <c r="H37" s="847"/>
      <c r="I37" s="847" t="s">
        <v>140</v>
      </c>
      <c r="J37" s="847"/>
      <c r="K37" s="847" t="s">
        <v>181</v>
      </c>
      <c r="L37" s="847"/>
      <c r="M37">
        <f>IF(SUM(K38:K47)&gt;0,1,0)</f>
        <v>0</v>
      </c>
    </row>
    <row r="38" spans="1:13" ht="15" customHeight="1">
      <c r="A38" s="853" t="s">
        <v>186</v>
      </c>
      <c r="B38" s="853"/>
      <c r="C38" s="853"/>
      <c r="D38" s="853"/>
      <c r="E38" s="853"/>
      <c r="F38" s="852" t="s">
        <v>91</v>
      </c>
      <c r="G38" s="852"/>
      <c r="H38" s="852"/>
      <c r="I38" s="850"/>
      <c r="J38" s="841"/>
      <c r="K38" s="841"/>
      <c r="L38" s="842"/>
      <c r="M38">
        <f t="shared" si="0"/>
        <v>0</v>
      </c>
    </row>
    <row r="39" spans="1:13" ht="15" customHeight="1">
      <c r="A39" s="853" t="s">
        <v>188</v>
      </c>
      <c r="B39" s="853"/>
      <c r="C39" s="853"/>
      <c r="D39" s="853"/>
      <c r="E39" s="853"/>
      <c r="F39" s="852" t="s">
        <v>92</v>
      </c>
      <c r="G39" s="852"/>
      <c r="H39" s="852"/>
      <c r="I39" s="848"/>
      <c r="J39" s="843"/>
      <c r="K39" s="843"/>
      <c r="L39" s="844"/>
      <c r="M39">
        <f t="shared" si="0"/>
        <v>0</v>
      </c>
    </row>
    <row r="40" spans="1:13" ht="15" customHeight="1">
      <c r="A40" s="853" t="s">
        <v>187</v>
      </c>
      <c r="B40" s="853"/>
      <c r="C40" s="853"/>
      <c r="D40" s="853"/>
      <c r="E40" s="853"/>
      <c r="F40" s="852" t="s">
        <v>95</v>
      </c>
      <c r="G40" s="852"/>
      <c r="H40" s="852"/>
      <c r="I40" s="848"/>
      <c r="J40" s="843"/>
      <c r="K40" s="843"/>
      <c r="L40" s="844"/>
      <c r="M40">
        <f t="shared" si="0"/>
        <v>0</v>
      </c>
    </row>
    <row r="41" spans="1:13" ht="15" customHeight="1">
      <c r="A41" s="853" t="s">
        <v>189</v>
      </c>
      <c r="B41" s="853"/>
      <c r="C41" s="853"/>
      <c r="D41" s="853"/>
      <c r="E41" s="853"/>
      <c r="F41" s="852" t="s">
        <v>96</v>
      </c>
      <c r="G41" s="852"/>
      <c r="H41" s="852"/>
      <c r="I41" s="848"/>
      <c r="J41" s="843"/>
      <c r="K41" s="843"/>
      <c r="L41" s="844"/>
      <c r="M41">
        <f t="shared" si="0"/>
        <v>0</v>
      </c>
    </row>
    <row r="42" spans="1:13" ht="15" customHeight="1">
      <c r="A42" s="853" t="s">
        <v>185</v>
      </c>
      <c r="B42" s="853"/>
      <c r="C42" s="853"/>
      <c r="D42" s="853"/>
      <c r="E42" s="853"/>
      <c r="F42" s="852" t="s">
        <v>97</v>
      </c>
      <c r="G42" s="852"/>
      <c r="H42" s="852"/>
      <c r="I42" s="848"/>
      <c r="J42" s="843"/>
      <c r="K42" s="843"/>
      <c r="L42" s="844"/>
      <c r="M42">
        <f t="shared" si="0"/>
        <v>0</v>
      </c>
    </row>
    <row r="43" spans="1:13" ht="15" customHeight="1">
      <c r="A43" s="853" t="s">
        <v>90</v>
      </c>
      <c r="B43" s="853"/>
      <c r="C43" s="853"/>
      <c r="D43" s="853"/>
      <c r="E43" s="853"/>
      <c r="F43" s="852" t="s">
        <v>98</v>
      </c>
      <c r="G43" s="852"/>
      <c r="H43" s="852"/>
      <c r="I43" s="848"/>
      <c r="J43" s="843"/>
      <c r="K43" s="843"/>
      <c r="L43" s="844"/>
      <c r="M43">
        <f t="shared" si="0"/>
        <v>0</v>
      </c>
    </row>
    <row r="44" spans="1:13" ht="15" customHeight="1">
      <c r="A44" s="853" t="s">
        <v>190</v>
      </c>
      <c r="B44" s="853"/>
      <c r="C44" s="853"/>
      <c r="D44" s="853"/>
      <c r="E44" s="853"/>
      <c r="F44" s="852" t="s">
        <v>99</v>
      </c>
      <c r="G44" s="852"/>
      <c r="H44" s="852"/>
      <c r="I44" s="848"/>
      <c r="J44" s="843"/>
      <c r="K44" s="843"/>
      <c r="L44" s="844"/>
      <c r="M44">
        <f t="shared" si="0"/>
        <v>0</v>
      </c>
    </row>
    <row r="45" spans="1:13" ht="15" customHeight="1">
      <c r="A45" s="853" t="s">
        <v>191</v>
      </c>
      <c r="B45" s="853"/>
      <c r="C45" s="853"/>
      <c r="D45" s="853"/>
      <c r="E45" s="853"/>
      <c r="F45" s="852" t="s">
        <v>100</v>
      </c>
      <c r="G45" s="852"/>
      <c r="H45" s="852"/>
      <c r="I45" s="848"/>
      <c r="J45" s="843"/>
      <c r="K45" s="843"/>
      <c r="L45" s="844"/>
      <c r="M45">
        <f t="shared" si="0"/>
        <v>0</v>
      </c>
    </row>
    <row r="46" spans="1:13" ht="15" customHeight="1">
      <c r="A46" s="852"/>
      <c r="B46" s="852"/>
      <c r="C46" s="852"/>
      <c r="D46" s="852"/>
      <c r="E46" s="852"/>
      <c r="F46" s="852"/>
      <c r="G46" s="852"/>
      <c r="H46" s="852"/>
      <c r="I46" s="848"/>
      <c r="J46" s="843"/>
      <c r="K46" s="843"/>
      <c r="L46" s="844"/>
      <c r="M46">
        <f t="shared" si="0"/>
        <v>0</v>
      </c>
    </row>
    <row r="47" spans="1:13" ht="15" customHeight="1" thickBot="1">
      <c r="A47" s="852"/>
      <c r="B47" s="852"/>
      <c r="C47" s="852"/>
      <c r="D47" s="852"/>
      <c r="E47" s="852"/>
      <c r="F47" s="852"/>
      <c r="G47" s="852"/>
      <c r="H47" s="852"/>
      <c r="I47" s="849"/>
      <c r="J47" s="845"/>
      <c r="K47" s="845"/>
      <c r="L47" s="846"/>
      <c r="M47">
        <f t="shared" si="0"/>
        <v>0</v>
      </c>
    </row>
    <row r="48" spans="1:13" ht="15" customHeight="1" thickBot="1">
      <c r="A48" s="851" t="s">
        <v>926</v>
      </c>
      <c r="B48" s="851"/>
      <c r="C48" s="851"/>
      <c r="D48" s="851"/>
      <c r="E48" s="851"/>
      <c r="F48" s="847" t="s">
        <v>182</v>
      </c>
      <c r="G48" s="847"/>
      <c r="H48" s="847"/>
      <c r="I48" s="847" t="s">
        <v>140</v>
      </c>
      <c r="J48" s="847"/>
      <c r="K48" s="847" t="s">
        <v>181</v>
      </c>
      <c r="L48" s="847"/>
      <c r="M48">
        <f>IF(SUM(K49:K58)&gt;0,1,0)</f>
        <v>0</v>
      </c>
    </row>
    <row r="49" spans="1:13" ht="15" customHeight="1">
      <c r="A49" s="853" t="s">
        <v>186</v>
      </c>
      <c r="B49" s="853"/>
      <c r="C49" s="853"/>
      <c r="D49" s="853"/>
      <c r="E49" s="853"/>
      <c r="F49" s="852" t="s">
        <v>119</v>
      </c>
      <c r="G49" s="852"/>
      <c r="H49" s="852"/>
      <c r="I49" s="850"/>
      <c r="J49" s="841"/>
      <c r="K49" s="841"/>
      <c r="L49" s="842"/>
      <c r="M49">
        <f t="shared" si="0"/>
        <v>0</v>
      </c>
    </row>
    <row r="50" spans="1:13" ht="15" customHeight="1">
      <c r="A50" s="853" t="s">
        <v>188</v>
      </c>
      <c r="B50" s="853"/>
      <c r="C50" s="853"/>
      <c r="D50" s="853"/>
      <c r="E50" s="853"/>
      <c r="F50" s="852" t="s">
        <v>121</v>
      </c>
      <c r="G50" s="852"/>
      <c r="H50" s="852"/>
      <c r="I50" s="848"/>
      <c r="J50" s="843"/>
      <c r="K50" s="843"/>
      <c r="L50" s="844"/>
      <c r="M50">
        <f t="shared" si="0"/>
        <v>0</v>
      </c>
    </row>
    <row r="51" spans="1:13" ht="15" customHeight="1">
      <c r="A51" s="853" t="s">
        <v>187</v>
      </c>
      <c r="B51" s="853"/>
      <c r="C51" s="853"/>
      <c r="D51" s="853"/>
      <c r="E51" s="853"/>
      <c r="F51" s="852" t="s">
        <v>122</v>
      </c>
      <c r="G51" s="852"/>
      <c r="H51" s="852"/>
      <c r="I51" s="848"/>
      <c r="J51" s="843"/>
      <c r="K51" s="843"/>
      <c r="L51" s="844"/>
      <c r="M51">
        <f t="shared" si="0"/>
        <v>0</v>
      </c>
    </row>
    <row r="52" spans="1:13" ht="15" customHeight="1">
      <c r="A52" s="853" t="s">
        <v>189</v>
      </c>
      <c r="B52" s="853"/>
      <c r="C52" s="853"/>
      <c r="D52" s="853"/>
      <c r="E52" s="853"/>
      <c r="F52" s="852" t="s">
        <v>123</v>
      </c>
      <c r="G52" s="852"/>
      <c r="H52" s="852"/>
      <c r="I52" s="848"/>
      <c r="J52" s="843"/>
      <c r="K52" s="843"/>
      <c r="L52" s="844"/>
      <c r="M52">
        <f t="shared" si="0"/>
        <v>0</v>
      </c>
    </row>
    <row r="53" spans="1:13" ht="15" customHeight="1">
      <c r="A53" s="853" t="s">
        <v>185</v>
      </c>
      <c r="B53" s="853"/>
      <c r="C53" s="853"/>
      <c r="D53" s="853"/>
      <c r="E53" s="853"/>
      <c r="F53" s="852" t="s">
        <v>124</v>
      </c>
      <c r="G53" s="852"/>
      <c r="H53" s="852"/>
      <c r="I53" s="848"/>
      <c r="J53" s="843"/>
      <c r="K53" s="843"/>
      <c r="L53" s="844"/>
      <c r="M53">
        <f t="shared" si="0"/>
        <v>0</v>
      </c>
    </row>
    <row r="54" spans="1:13" ht="15" customHeight="1">
      <c r="A54" s="853" t="s">
        <v>90</v>
      </c>
      <c r="B54" s="853"/>
      <c r="C54" s="853"/>
      <c r="D54" s="853"/>
      <c r="E54" s="853"/>
      <c r="F54" s="852" t="s">
        <v>126</v>
      </c>
      <c r="G54" s="852"/>
      <c r="H54" s="852"/>
      <c r="I54" s="848"/>
      <c r="J54" s="843"/>
      <c r="K54" s="843"/>
      <c r="L54" s="844"/>
      <c r="M54">
        <f t="shared" si="0"/>
        <v>0</v>
      </c>
    </row>
    <row r="55" spans="1:13" ht="15" customHeight="1">
      <c r="A55" s="853" t="s">
        <v>190</v>
      </c>
      <c r="B55" s="853"/>
      <c r="C55" s="853"/>
      <c r="D55" s="853"/>
      <c r="E55" s="853"/>
      <c r="F55" s="852" t="s">
        <v>127</v>
      </c>
      <c r="G55" s="852"/>
      <c r="H55" s="852"/>
      <c r="I55" s="848"/>
      <c r="J55" s="843"/>
      <c r="K55" s="843"/>
      <c r="L55" s="844"/>
      <c r="M55">
        <f t="shared" si="0"/>
        <v>0</v>
      </c>
    </row>
    <row r="56" spans="1:13" ht="15" customHeight="1">
      <c r="A56" s="853" t="s">
        <v>191</v>
      </c>
      <c r="B56" s="853"/>
      <c r="C56" s="853"/>
      <c r="D56" s="853"/>
      <c r="E56" s="853"/>
      <c r="F56" s="852" t="s">
        <v>128</v>
      </c>
      <c r="G56" s="852"/>
      <c r="H56" s="852"/>
      <c r="I56" s="848"/>
      <c r="J56" s="843"/>
      <c r="K56" s="843"/>
      <c r="L56" s="844"/>
      <c r="M56">
        <f t="shared" si="0"/>
        <v>0</v>
      </c>
    </row>
    <row r="57" spans="1:13" ht="15">
      <c r="A57" s="852"/>
      <c r="B57" s="852"/>
      <c r="C57" s="852"/>
      <c r="D57" s="852"/>
      <c r="E57" s="852"/>
      <c r="F57" s="852"/>
      <c r="G57" s="852"/>
      <c r="H57" s="852"/>
      <c r="I57" s="848"/>
      <c r="J57" s="843"/>
      <c r="K57" s="843"/>
      <c r="L57" s="844"/>
      <c r="M57">
        <f t="shared" si="0"/>
        <v>0</v>
      </c>
    </row>
    <row r="58" spans="1:13" ht="15.75" thickBot="1">
      <c r="A58" s="852"/>
      <c r="B58" s="852"/>
      <c r="C58" s="852"/>
      <c r="D58" s="852"/>
      <c r="E58" s="852"/>
      <c r="F58" s="852"/>
      <c r="G58" s="852"/>
      <c r="H58" s="852"/>
      <c r="I58" s="849"/>
      <c r="J58" s="845"/>
      <c r="K58" s="845"/>
      <c r="L58" s="846"/>
      <c r="M58">
        <f t="shared" si="0"/>
        <v>0</v>
      </c>
    </row>
    <row r="59" spans="1:13" ht="16.5" thickBot="1">
      <c r="A59" s="851" t="s">
        <v>724</v>
      </c>
      <c r="B59" s="851"/>
      <c r="C59" s="851"/>
      <c r="D59" s="851"/>
      <c r="E59" s="851"/>
      <c r="F59" s="852"/>
      <c r="G59" s="852"/>
      <c r="H59" s="852"/>
      <c r="I59" s="847" t="s">
        <v>140</v>
      </c>
      <c r="J59" s="847"/>
      <c r="K59" s="847" t="s">
        <v>181</v>
      </c>
      <c r="L59" s="847"/>
      <c r="M59">
        <f>IF(SUM(K60:K63)&gt;0,1,0)</f>
        <v>0</v>
      </c>
    </row>
    <row r="60" spans="1:13" ht="15">
      <c r="A60" s="853" t="s">
        <v>193</v>
      </c>
      <c r="B60" s="853"/>
      <c r="C60" s="853"/>
      <c r="D60" s="853"/>
      <c r="E60" s="853"/>
      <c r="F60" s="852" t="s">
        <v>195</v>
      </c>
      <c r="G60" s="852"/>
      <c r="H60" s="852"/>
      <c r="I60" s="850"/>
      <c r="J60" s="841"/>
      <c r="K60" s="841"/>
      <c r="L60" s="842"/>
      <c r="M60">
        <f t="shared" si="0"/>
        <v>0</v>
      </c>
    </row>
    <row r="61" spans="1:13" ht="15">
      <c r="A61" s="853" t="s">
        <v>194</v>
      </c>
      <c r="B61" s="853"/>
      <c r="C61" s="853"/>
      <c r="D61" s="853"/>
      <c r="E61" s="853"/>
      <c r="F61" s="852" t="s">
        <v>195</v>
      </c>
      <c r="G61" s="852"/>
      <c r="H61" s="852"/>
      <c r="I61" s="848"/>
      <c r="J61" s="843"/>
      <c r="K61" s="843"/>
      <c r="L61" s="844"/>
      <c r="M61">
        <f t="shared" si="0"/>
        <v>0</v>
      </c>
    </row>
    <row r="62" spans="1:13" ht="15.75">
      <c r="A62" s="853" t="s">
        <v>197</v>
      </c>
      <c r="B62" s="853"/>
      <c r="C62" s="853"/>
      <c r="D62" s="853"/>
      <c r="E62" s="853"/>
      <c r="F62" s="852" t="s">
        <v>196</v>
      </c>
      <c r="G62" s="852"/>
      <c r="H62" s="852"/>
      <c r="I62" s="848"/>
      <c r="J62" s="843"/>
      <c r="K62" s="843"/>
      <c r="L62" s="844"/>
      <c r="M62">
        <f t="shared" si="0"/>
        <v>0</v>
      </c>
    </row>
    <row r="63" spans="1:13" ht="16.5" thickBot="1">
      <c r="A63" s="853" t="s">
        <v>198</v>
      </c>
      <c r="B63" s="853"/>
      <c r="C63" s="853"/>
      <c r="D63" s="853"/>
      <c r="E63" s="853"/>
      <c r="F63" s="852" t="s">
        <v>196</v>
      </c>
      <c r="G63" s="852"/>
      <c r="H63" s="852"/>
      <c r="I63" s="849"/>
      <c r="J63" s="845"/>
      <c r="K63" s="845"/>
      <c r="L63" s="846"/>
      <c r="M63">
        <f t="shared" si="0"/>
        <v>0</v>
      </c>
    </row>
    <row r="64" spans="1:13" ht="15">
      <c r="A64" s="852"/>
      <c r="B64" s="852"/>
      <c r="C64" s="852"/>
      <c r="D64" s="852"/>
      <c r="E64" s="852"/>
      <c r="F64" s="852"/>
      <c r="G64" s="852"/>
      <c r="H64" s="852"/>
      <c r="I64" s="869"/>
      <c r="J64" s="869"/>
      <c r="K64" s="882"/>
      <c r="L64" s="882"/>
      <c r="M64">
        <v>0</v>
      </c>
    </row>
    <row r="65" spans="1:13" ht="16.5" thickBot="1">
      <c r="A65" s="851" t="s">
        <v>192</v>
      </c>
      <c r="B65" s="851"/>
      <c r="C65" s="851"/>
      <c r="D65" s="851"/>
      <c r="E65" s="851"/>
      <c r="F65" s="847" t="s">
        <v>182</v>
      </c>
      <c r="G65" s="847"/>
      <c r="H65" s="847"/>
      <c r="I65" s="847" t="s">
        <v>140</v>
      </c>
      <c r="J65" s="847"/>
      <c r="K65" s="847" t="s">
        <v>181</v>
      </c>
      <c r="L65" s="847"/>
      <c r="M65">
        <f>IF(SUM(K66:K73)&gt;0,1,0)</f>
        <v>0</v>
      </c>
    </row>
    <row r="66" spans="1:13" ht="15">
      <c r="A66" s="850"/>
      <c r="B66" s="841"/>
      <c r="C66" s="841"/>
      <c r="D66" s="841"/>
      <c r="E66" s="841"/>
      <c r="F66" s="841"/>
      <c r="G66" s="841"/>
      <c r="H66" s="841"/>
      <c r="I66" s="841"/>
      <c r="J66" s="841"/>
      <c r="K66" s="841"/>
      <c r="L66" s="842"/>
      <c r="M66">
        <f t="shared" si="0"/>
        <v>0</v>
      </c>
    </row>
    <row r="67" spans="1:13" ht="15">
      <c r="A67" s="848"/>
      <c r="B67" s="843"/>
      <c r="C67" s="843"/>
      <c r="D67" s="843"/>
      <c r="E67" s="843"/>
      <c r="F67" s="843"/>
      <c r="G67" s="843"/>
      <c r="H67" s="843"/>
      <c r="I67" s="843"/>
      <c r="J67" s="843"/>
      <c r="K67" s="843"/>
      <c r="L67" s="844"/>
      <c r="M67">
        <f t="shared" si="0"/>
        <v>0</v>
      </c>
    </row>
    <row r="68" spans="1:13" ht="15">
      <c r="A68" s="848"/>
      <c r="B68" s="843"/>
      <c r="C68" s="843"/>
      <c r="D68" s="843"/>
      <c r="E68" s="843"/>
      <c r="F68" s="843"/>
      <c r="G68" s="843"/>
      <c r="H68" s="843"/>
      <c r="I68" s="843"/>
      <c r="J68" s="843"/>
      <c r="K68" s="843"/>
      <c r="L68" s="844"/>
      <c r="M68">
        <f t="shared" si="0"/>
        <v>0</v>
      </c>
    </row>
    <row r="69" spans="1:13" ht="15">
      <c r="A69" s="848"/>
      <c r="B69" s="843"/>
      <c r="C69" s="843"/>
      <c r="D69" s="843"/>
      <c r="E69" s="843"/>
      <c r="F69" s="843"/>
      <c r="G69" s="843"/>
      <c r="H69" s="843"/>
      <c r="I69" s="843"/>
      <c r="J69" s="843"/>
      <c r="K69" s="843"/>
      <c r="L69" s="844"/>
      <c r="M69">
        <f t="shared" si="0"/>
        <v>0</v>
      </c>
    </row>
    <row r="70" spans="1:13" ht="15">
      <c r="A70" s="848"/>
      <c r="B70" s="843"/>
      <c r="C70" s="843"/>
      <c r="D70" s="843"/>
      <c r="E70" s="843"/>
      <c r="F70" s="843"/>
      <c r="G70" s="843"/>
      <c r="H70" s="843"/>
      <c r="I70" s="843"/>
      <c r="J70" s="843"/>
      <c r="K70" s="843"/>
      <c r="L70" s="844"/>
      <c r="M70">
        <f t="shared" si="0"/>
        <v>0</v>
      </c>
    </row>
    <row r="71" spans="1:13" ht="15">
      <c r="A71" s="848"/>
      <c r="B71" s="843"/>
      <c r="C71" s="843"/>
      <c r="D71" s="843"/>
      <c r="E71" s="843"/>
      <c r="F71" s="843"/>
      <c r="G71" s="843"/>
      <c r="H71" s="843"/>
      <c r="I71" s="843"/>
      <c r="J71" s="843"/>
      <c r="K71" s="843"/>
      <c r="L71" s="844"/>
      <c r="M71">
        <f t="shared" si="0"/>
        <v>0</v>
      </c>
    </row>
    <row r="72" spans="1:13" ht="15">
      <c r="A72" s="848"/>
      <c r="B72" s="843"/>
      <c r="C72" s="843"/>
      <c r="D72" s="843"/>
      <c r="E72" s="843"/>
      <c r="F72" s="843"/>
      <c r="G72" s="843"/>
      <c r="H72" s="843"/>
      <c r="I72" s="843"/>
      <c r="J72" s="843"/>
      <c r="K72" s="843"/>
      <c r="L72" s="844"/>
      <c r="M72">
        <f t="shared" si="0"/>
        <v>0</v>
      </c>
    </row>
    <row r="73" spans="1:13" ht="15.75" thickBot="1">
      <c r="A73" s="849"/>
      <c r="B73" s="845"/>
      <c r="C73" s="845"/>
      <c r="D73" s="845"/>
      <c r="E73" s="845"/>
      <c r="F73" s="845"/>
      <c r="G73" s="845"/>
      <c r="H73" s="845"/>
      <c r="I73" s="845"/>
      <c r="J73" s="845"/>
      <c r="K73" s="845"/>
      <c r="L73" s="846"/>
      <c r="M73">
        <f t="shared" si="0"/>
        <v>0</v>
      </c>
    </row>
  </sheetData>
  <autoFilter ref="M8:M73"/>
  <mergeCells count="272">
    <mergeCell ref="A64:E64"/>
    <mergeCell ref="I64:J64"/>
    <mergeCell ref="F64:H64"/>
    <mergeCell ref="K64:L64"/>
    <mergeCell ref="I62:J62"/>
    <mergeCell ref="I63:J63"/>
    <mergeCell ref="I59:J59"/>
    <mergeCell ref="K59:L59"/>
    <mergeCell ref="I60:J60"/>
    <mergeCell ref="I61:J61"/>
    <mergeCell ref="K60:L60"/>
    <mergeCell ref="K61:L61"/>
    <mergeCell ref="K62:L62"/>
    <mergeCell ref="K63:L63"/>
    <mergeCell ref="F63:H63"/>
    <mergeCell ref="A63:E63"/>
    <mergeCell ref="A59:E59"/>
    <mergeCell ref="A60:E60"/>
    <mergeCell ref="A62:E62"/>
    <mergeCell ref="A61:E61"/>
    <mergeCell ref="F59:H59"/>
    <mergeCell ref="F60:H60"/>
    <mergeCell ref="F61:H61"/>
    <mergeCell ref="F62:H62"/>
    <mergeCell ref="A1:G3"/>
    <mergeCell ref="H1:L3"/>
    <mergeCell ref="C5:E5"/>
    <mergeCell ref="C6:E6"/>
    <mergeCell ref="A4:L4"/>
    <mergeCell ref="H5:I5"/>
    <mergeCell ref="H6:I6"/>
    <mergeCell ref="J5:L5"/>
    <mergeCell ref="J6:L6"/>
    <mergeCell ref="A5:B5"/>
    <mergeCell ref="A6:B6"/>
    <mergeCell ref="K9:L9"/>
    <mergeCell ref="I9:J9"/>
    <mergeCell ref="A8:E8"/>
    <mergeCell ref="F9:H9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41:E41"/>
    <mergeCell ref="A42:E42"/>
    <mergeCell ref="A44:E44"/>
    <mergeCell ref="A43:E43"/>
    <mergeCell ref="A45:E45"/>
    <mergeCell ref="A46:E46"/>
    <mergeCell ref="A47:E47"/>
    <mergeCell ref="A48:E48"/>
    <mergeCell ref="F13:H13"/>
    <mergeCell ref="F14:H14"/>
    <mergeCell ref="F15:H15"/>
    <mergeCell ref="F24:H24"/>
    <mergeCell ref="F25:H25"/>
    <mergeCell ref="F26:H26"/>
    <mergeCell ref="F27:H27"/>
    <mergeCell ref="F34:H34"/>
    <mergeCell ref="F35:H35"/>
    <mergeCell ref="F10:H10"/>
    <mergeCell ref="F11:H11"/>
    <mergeCell ref="I10:J10"/>
    <mergeCell ref="I13:J13"/>
    <mergeCell ref="I11:J11"/>
    <mergeCell ref="I12:J12"/>
    <mergeCell ref="F12:H12"/>
    <mergeCell ref="K11:L11"/>
    <mergeCell ref="K10:L10"/>
    <mergeCell ref="K12:L12"/>
    <mergeCell ref="K14:L14"/>
    <mergeCell ref="K13:L13"/>
    <mergeCell ref="I14:J14"/>
    <mergeCell ref="K15:L15"/>
    <mergeCell ref="I15:J15"/>
    <mergeCell ref="I16:J16"/>
    <mergeCell ref="I17:J17"/>
    <mergeCell ref="I18:J18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F16:H16"/>
    <mergeCell ref="F17:H17"/>
    <mergeCell ref="F18:H18"/>
    <mergeCell ref="F19:H19"/>
    <mergeCell ref="F20:H20"/>
    <mergeCell ref="F21:H21"/>
    <mergeCell ref="F22:H22"/>
    <mergeCell ref="F23:H23"/>
    <mergeCell ref="F28:H28"/>
    <mergeCell ref="F29:H29"/>
    <mergeCell ref="F30:H30"/>
    <mergeCell ref="F31:H31"/>
    <mergeCell ref="F47:H47"/>
    <mergeCell ref="F40:H40"/>
    <mergeCell ref="F41:H41"/>
    <mergeCell ref="F42:H42"/>
    <mergeCell ref="F43:H43"/>
    <mergeCell ref="I27:J27"/>
    <mergeCell ref="F44:H44"/>
    <mergeCell ref="F45:H45"/>
    <mergeCell ref="F46:H46"/>
    <mergeCell ref="F36:H36"/>
    <mergeCell ref="F37:H37"/>
    <mergeCell ref="F38:H38"/>
    <mergeCell ref="F39:H39"/>
    <mergeCell ref="F32:H32"/>
    <mergeCell ref="F33:H33"/>
    <mergeCell ref="I23:J23"/>
    <mergeCell ref="I24:J24"/>
    <mergeCell ref="I25:J25"/>
    <mergeCell ref="I26:J26"/>
    <mergeCell ref="I19:J19"/>
    <mergeCell ref="I20:J20"/>
    <mergeCell ref="I21:J21"/>
    <mergeCell ref="I22:J22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A40:E40"/>
    <mergeCell ref="A49:E49"/>
    <mergeCell ref="I44:J44"/>
    <mergeCell ref="I45:J45"/>
    <mergeCell ref="I46:J46"/>
    <mergeCell ref="I47:J47"/>
    <mergeCell ref="I40:J40"/>
    <mergeCell ref="I41:J41"/>
    <mergeCell ref="I42:J42"/>
    <mergeCell ref="I43:J43"/>
    <mergeCell ref="A54:E54"/>
    <mergeCell ref="A55:E55"/>
    <mergeCell ref="A56:E56"/>
    <mergeCell ref="I48:J48"/>
    <mergeCell ref="F48:H48"/>
    <mergeCell ref="A50:E50"/>
    <mergeCell ref="A51:E51"/>
    <mergeCell ref="I53:J53"/>
    <mergeCell ref="I54:J54"/>
    <mergeCell ref="I55:J55"/>
    <mergeCell ref="A58:E58"/>
    <mergeCell ref="F49:H49"/>
    <mergeCell ref="F50:H50"/>
    <mergeCell ref="F51:H51"/>
    <mergeCell ref="F52:H52"/>
    <mergeCell ref="F53:H53"/>
    <mergeCell ref="F54:H54"/>
    <mergeCell ref="F55:H55"/>
    <mergeCell ref="F56:H56"/>
    <mergeCell ref="A53:E53"/>
    <mergeCell ref="I56:J56"/>
    <mergeCell ref="I49:J49"/>
    <mergeCell ref="I50:J50"/>
    <mergeCell ref="I51:J51"/>
    <mergeCell ref="I52:J52"/>
    <mergeCell ref="K53:L53"/>
    <mergeCell ref="K54:L54"/>
    <mergeCell ref="K55:L55"/>
    <mergeCell ref="K56:L56"/>
    <mergeCell ref="K49:L49"/>
    <mergeCell ref="K50:L50"/>
    <mergeCell ref="K51:L51"/>
    <mergeCell ref="K52:L52"/>
    <mergeCell ref="K57:L57"/>
    <mergeCell ref="K58:L58"/>
    <mergeCell ref="K65:L65"/>
    <mergeCell ref="A65:E65"/>
    <mergeCell ref="F65:H65"/>
    <mergeCell ref="I57:J57"/>
    <mergeCell ref="I58:J58"/>
    <mergeCell ref="F57:H57"/>
    <mergeCell ref="F58:H58"/>
    <mergeCell ref="A57:E57"/>
    <mergeCell ref="A66:E66"/>
    <mergeCell ref="A67:E67"/>
    <mergeCell ref="A68:E68"/>
    <mergeCell ref="A69:E69"/>
    <mergeCell ref="A70:E70"/>
    <mergeCell ref="A71:E71"/>
    <mergeCell ref="A72:E72"/>
    <mergeCell ref="A73:E73"/>
    <mergeCell ref="I69:J69"/>
    <mergeCell ref="I70:J70"/>
    <mergeCell ref="I71:J71"/>
    <mergeCell ref="F66:H66"/>
    <mergeCell ref="F67:H67"/>
    <mergeCell ref="F68:H68"/>
    <mergeCell ref="F69:H69"/>
    <mergeCell ref="I65:J65"/>
    <mergeCell ref="I66:J66"/>
    <mergeCell ref="I67:J67"/>
    <mergeCell ref="I68:J68"/>
    <mergeCell ref="K73:L73"/>
    <mergeCell ref="F70:H70"/>
    <mergeCell ref="F71:H71"/>
    <mergeCell ref="F72:H72"/>
    <mergeCell ref="F73:H73"/>
    <mergeCell ref="I72:J72"/>
    <mergeCell ref="I73:J73"/>
    <mergeCell ref="K70:L70"/>
    <mergeCell ref="K71:L71"/>
    <mergeCell ref="K72:L72"/>
    <mergeCell ref="K66:L66"/>
    <mergeCell ref="K67:L67"/>
    <mergeCell ref="K68:L68"/>
    <mergeCell ref="K69:L69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1:K162"/>
  <sheetViews>
    <sheetView workbookViewId="0" topLeftCell="A1">
      <pane xSplit="4" topLeftCell="E1" activePane="topRight" state="frozen"/>
      <selection pane="topLeft" activeCell="E4" sqref="E4:M4"/>
      <selection pane="topRight" activeCell="E4" sqref="E4:M4"/>
    </sheetView>
  </sheetViews>
  <sheetFormatPr defaultColWidth="11.421875" defaultRowHeight="12.75"/>
  <cols>
    <col min="1" max="1" width="26.421875" style="0" customWidth="1"/>
    <col min="2" max="2" width="2.8515625" style="33" customWidth="1"/>
    <col min="3" max="3" width="36.421875" style="33" customWidth="1"/>
    <col min="4" max="4" width="6.00390625" style="0" customWidth="1"/>
    <col min="8" max="8" width="83.421875" style="0" bestFit="1" customWidth="1"/>
    <col min="9" max="9" width="43.421875" style="0" bestFit="1" customWidth="1"/>
    <col min="10" max="11" width="60.7109375" style="0" customWidth="1"/>
  </cols>
  <sheetData>
    <row r="1" spans="1:11" ht="15">
      <c r="A1" s="233" t="s">
        <v>811</v>
      </c>
      <c r="B1" s="234">
        <v>1</v>
      </c>
      <c r="C1" s="234" t="s">
        <v>52</v>
      </c>
      <c r="D1" s="235" t="s">
        <v>53</v>
      </c>
      <c r="H1" s="297" t="s">
        <v>150</v>
      </c>
      <c r="J1" s="579" t="s">
        <v>94</v>
      </c>
      <c r="K1" s="579" t="s">
        <v>94</v>
      </c>
    </row>
    <row r="2" spans="1:11" ht="12.75">
      <c r="A2" s="236" t="s">
        <v>802</v>
      </c>
      <c r="B2" s="19">
        <f>IF(Checkliste!$B$3=1,1,0)</f>
        <v>1</v>
      </c>
      <c r="C2" s="19" t="b">
        <v>1</v>
      </c>
      <c r="D2" s="124"/>
      <c r="H2" s="298"/>
      <c r="J2" s="578"/>
      <c r="K2" s="578"/>
    </row>
    <row r="3" spans="1:11" ht="12.75">
      <c r="A3" s="236" t="s">
        <v>803</v>
      </c>
      <c r="B3" s="19">
        <f>IF(Checkliste!$B$3=2,1,0)</f>
        <v>0</v>
      </c>
      <c r="C3" s="19" t="b">
        <v>0</v>
      </c>
      <c r="D3" s="124"/>
      <c r="H3" s="298"/>
      <c r="J3" s="578"/>
      <c r="K3" s="578"/>
    </row>
    <row r="4" spans="1:11" ht="12.75">
      <c r="A4" s="236" t="s">
        <v>804</v>
      </c>
      <c r="B4" s="19">
        <f>IF(Checkliste!$B$3=3,1,0)</f>
        <v>0</v>
      </c>
      <c r="C4" s="19" t="b">
        <v>0</v>
      </c>
      <c r="D4" s="124"/>
      <c r="H4" s="298"/>
      <c r="J4" s="578"/>
      <c r="K4" s="578"/>
    </row>
    <row r="5" spans="1:11" ht="12.75">
      <c r="A5" s="236" t="s">
        <v>805</v>
      </c>
      <c r="B5" s="19">
        <f>IF(Checkliste!$B$3=4,1,0)</f>
        <v>0</v>
      </c>
      <c r="C5" s="19" t="b">
        <v>0</v>
      </c>
      <c r="D5" s="124"/>
      <c r="H5" s="298"/>
      <c r="J5" s="578"/>
      <c r="K5" s="578"/>
    </row>
    <row r="6" spans="1:11" ht="12.75">
      <c r="A6" s="236" t="s">
        <v>699</v>
      </c>
      <c r="B6" s="19"/>
      <c r="C6" s="237">
        <f>Checkliste!E4</f>
        <v>0</v>
      </c>
      <c r="D6" s="124"/>
      <c r="H6" s="298"/>
      <c r="J6" s="578"/>
      <c r="K6" s="578"/>
    </row>
    <row r="7" spans="1:11" ht="12.75">
      <c r="A7" s="236" t="s">
        <v>703</v>
      </c>
      <c r="B7" s="19"/>
      <c r="C7" s="237">
        <f>Checkliste!S4</f>
        <v>0</v>
      </c>
      <c r="D7" s="124"/>
      <c r="H7" s="298"/>
      <c r="J7" s="578"/>
      <c r="K7" s="578"/>
    </row>
    <row r="8" spans="1:11" ht="12.75">
      <c r="A8" s="236" t="s">
        <v>716</v>
      </c>
      <c r="B8" s="19"/>
      <c r="C8" s="237">
        <f>Checkliste!X4</f>
        <v>0</v>
      </c>
      <c r="D8" s="124"/>
      <c r="H8" s="298"/>
      <c r="J8" s="578"/>
      <c r="K8" s="578"/>
    </row>
    <row r="9" spans="1:11" ht="12.75">
      <c r="A9" s="236" t="s">
        <v>806</v>
      </c>
      <c r="B9" s="19"/>
      <c r="C9" s="237">
        <f>Checkliste!AD4</f>
        <v>0</v>
      </c>
      <c r="D9" s="124"/>
      <c r="H9" s="298"/>
      <c r="J9" s="578"/>
      <c r="K9" s="578"/>
    </row>
    <row r="10" spans="1:11" ht="12.75">
      <c r="A10" s="236" t="s">
        <v>700</v>
      </c>
      <c r="B10" s="19"/>
      <c r="C10" s="237">
        <f>Checkliste!E5</f>
        <v>0</v>
      </c>
      <c r="D10" s="124"/>
      <c r="H10" s="298"/>
      <c r="J10" s="578"/>
      <c r="K10" s="578"/>
    </row>
    <row r="11" spans="1:11" ht="12.75">
      <c r="A11" s="236" t="s">
        <v>807</v>
      </c>
      <c r="B11" s="19"/>
      <c r="C11" s="237">
        <f>Checkliste!AD5</f>
        <v>0</v>
      </c>
      <c r="D11" s="124"/>
      <c r="H11" s="298"/>
      <c r="J11" s="578"/>
      <c r="K11" s="578"/>
    </row>
    <row r="12" spans="1:11" ht="12.75">
      <c r="A12" s="236" t="s">
        <v>701</v>
      </c>
      <c r="B12" s="19"/>
      <c r="C12" s="237">
        <f>Checkliste!E6</f>
        <v>0</v>
      </c>
      <c r="D12" s="124"/>
      <c r="H12" s="298"/>
      <c r="J12" s="578"/>
      <c r="K12" s="578"/>
    </row>
    <row r="13" spans="1:11" ht="12.75">
      <c r="A13" s="236" t="s">
        <v>708</v>
      </c>
      <c r="B13" s="19"/>
      <c r="C13" s="237">
        <f>Checkliste!Q6</f>
        <v>0</v>
      </c>
      <c r="D13" s="124"/>
      <c r="H13" s="298"/>
      <c r="J13" s="578"/>
      <c r="K13" s="578"/>
    </row>
    <row r="14" spans="1:11" ht="12.75">
      <c r="A14" s="236" t="s">
        <v>707</v>
      </c>
      <c r="B14" s="19"/>
      <c r="C14" s="237">
        <f>Checkliste!AE6</f>
        <v>0</v>
      </c>
      <c r="D14" s="124"/>
      <c r="H14" s="298"/>
      <c r="J14" s="578"/>
      <c r="K14" s="578"/>
    </row>
    <row r="15" spans="1:11" ht="12.75">
      <c r="A15" s="236" t="s">
        <v>702</v>
      </c>
      <c r="B15" s="19"/>
      <c r="C15" s="237">
        <f>Checkliste!G7</f>
        <v>0</v>
      </c>
      <c r="D15" s="124"/>
      <c r="H15" s="298"/>
      <c r="J15" s="578"/>
      <c r="K15" s="578"/>
    </row>
    <row r="16" spans="1:11" ht="12.75">
      <c r="A16" s="236" t="s">
        <v>709</v>
      </c>
      <c r="B16" s="19"/>
      <c r="C16" s="237">
        <f>Checkliste!Y7</f>
        <v>0</v>
      </c>
      <c r="D16" s="124"/>
      <c r="H16" s="298"/>
      <c r="J16" s="578"/>
      <c r="K16" s="578"/>
    </row>
    <row r="17" spans="1:11" ht="12.75">
      <c r="A17" s="236" t="s">
        <v>710</v>
      </c>
      <c r="B17" s="19"/>
      <c r="C17" s="237">
        <f>Checkliste!AA8</f>
        <v>0</v>
      </c>
      <c r="D17" s="124"/>
      <c r="H17" s="298"/>
      <c r="J17" s="578"/>
      <c r="K17" s="578"/>
    </row>
    <row r="18" spans="1:11" ht="12.75">
      <c r="A18" s="236" t="s">
        <v>808</v>
      </c>
      <c r="B18" s="19"/>
      <c r="C18" s="237" t="str">
        <f>Checkliste!AF9</f>
        <v>0</v>
      </c>
      <c r="D18" s="124"/>
      <c r="H18" s="298"/>
      <c r="J18" s="578"/>
      <c r="K18" s="578"/>
    </row>
    <row r="19" spans="1:11" ht="12.75">
      <c r="A19" s="236" t="s">
        <v>809</v>
      </c>
      <c r="B19" s="19"/>
      <c r="C19" s="237" t="str">
        <f>Checkliste!AF10</f>
        <v>0</v>
      </c>
      <c r="D19" s="124"/>
      <c r="H19" s="298"/>
      <c r="J19" s="578"/>
      <c r="K19" s="578"/>
    </row>
    <row r="20" spans="1:11" ht="12.75">
      <c r="A20" s="236" t="s">
        <v>810</v>
      </c>
      <c r="B20" s="19"/>
      <c r="C20" s="237">
        <f>Checkliste!M9</f>
        <v>0</v>
      </c>
      <c r="D20" s="124"/>
      <c r="H20" s="298"/>
      <c r="J20" s="578"/>
      <c r="K20" s="578"/>
    </row>
    <row r="21" spans="1:11" ht="12.75">
      <c r="A21" s="236" t="s">
        <v>711</v>
      </c>
      <c r="B21" s="19"/>
      <c r="C21" s="237">
        <f>Checkliste!AA9</f>
        <v>0</v>
      </c>
      <c r="D21" s="124"/>
      <c r="H21" s="298"/>
      <c r="J21" s="578"/>
      <c r="K21" s="578"/>
    </row>
    <row r="22" spans="1:11" ht="12.75">
      <c r="A22" s="236" t="s">
        <v>713</v>
      </c>
      <c r="B22" s="19"/>
      <c r="C22" s="237">
        <f>Checkliste!AA10</f>
        <v>0</v>
      </c>
      <c r="D22" s="124"/>
      <c r="H22" s="298"/>
      <c r="J22" s="578"/>
      <c r="K22" s="578"/>
    </row>
    <row r="23" spans="1:11" ht="12.75">
      <c r="A23" s="236" t="s">
        <v>714</v>
      </c>
      <c r="B23" s="19"/>
      <c r="C23" s="19" t="b">
        <v>0</v>
      </c>
      <c r="D23" s="124"/>
      <c r="H23" s="298"/>
      <c r="J23" s="578"/>
      <c r="K23" s="578"/>
    </row>
    <row r="24" spans="1:11" ht="12.75">
      <c r="A24" s="236" t="s">
        <v>715</v>
      </c>
      <c r="B24" s="19">
        <f>IF(C24=TRUE,1,0)</f>
        <v>0</v>
      </c>
      <c r="C24" s="19" t="b">
        <v>0</v>
      </c>
      <c r="D24" s="124"/>
      <c r="H24" s="298"/>
      <c r="J24" s="578"/>
      <c r="K24" s="578"/>
    </row>
    <row r="25" spans="1:11" ht="12.75">
      <c r="A25" s="236" t="s">
        <v>716</v>
      </c>
      <c r="B25" s="19">
        <f>IF(C25=TRUE,1,0)</f>
        <v>0</v>
      </c>
      <c r="C25" s="19" t="b">
        <v>0</v>
      </c>
      <c r="D25" s="124"/>
      <c r="H25" s="298"/>
      <c r="J25" s="578"/>
      <c r="K25" s="578"/>
    </row>
    <row r="26" spans="1:11" ht="15">
      <c r="A26" s="238" t="s">
        <v>812</v>
      </c>
      <c r="B26" s="239"/>
      <c r="C26" s="239"/>
      <c r="D26" s="230"/>
      <c r="H26" s="298"/>
      <c r="J26" s="578"/>
      <c r="K26" s="578"/>
    </row>
    <row r="27" spans="1:11" ht="12.75">
      <c r="A27" s="240" t="s">
        <v>691</v>
      </c>
      <c r="B27" s="19">
        <f>IF(C27=TRUE,1,0)</f>
        <v>1</v>
      </c>
      <c r="C27" s="19" t="b">
        <v>1</v>
      </c>
      <c r="D27" s="124"/>
      <c r="H27" s="298"/>
      <c r="J27" s="578" t="str">
        <f>IF(B27=1,"STANDARDGEHÄUSE"," ")</f>
        <v>STANDARDGEHÄUSE</v>
      </c>
      <c r="K27" s="578"/>
    </row>
    <row r="28" spans="1:11" ht="12.75">
      <c r="A28" s="240" t="s">
        <v>813</v>
      </c>
      <c r="B28" s="19">
        <f>IF(C28=TRUE,1,0)</f>
        <v>0</v>
      </c>
      <c r="C28" s="19" t="b">
        <v>0</v>
      </c>
      <c r="D28" s="124"/>
      <c r="H28" s="298"/>
      <c r="J28" s="578" t="str">
        <f>IF(B28=1,"PULT - OBERTEIL"," ")</f>
        <v> </v>
      </c>
      <c r="K28" s="578"/>
    </row>
    <row r="29" spans="1:11" ht="12.75">
      <c r="A29" s="240" t="s">
        <v>814</v>
      </c>
      <c r="B29" s="19">
        <f>IF(C29=TRUE,1,0)</f>
        <v>0</v>
      </c>
      <c r="C29" s="19" t="b">
        <v>0</v>
      </c>
      <c r="D29" s="124"/>
      <c r="H29" s="298"/>
      <c r="J29" s="578" t="str">
        <f>IF(B29=1,"PULT - UNTERTEIL"," ")</f>
        <v> </v>
      </c>
      <c r="K29" s="578"/>
    </row>
    <row r="30" spans="1:11" ht="12.75">
      <c r="A30" s="240" t="s">
        <v>815</v>
      </c>
      <c r="B30" s="19">
        <f>IF(C30=TRUE,1,0)</f>
        <v>0</v>
      </c>
      <c r="C30" s="237">
        <f>Checkliste!AD13</f>
        <v>0</v>
      </c>
      <c r="D30" s="124"/>
      <c r="H30" s="298"/>
      <c r="J30" s="578"/>
      <c r="K30" s="578"/>
    </row>
    <row r="31" spans="1:11" ht="15">
      <c r="A31" s="238" t="s">
        <v>816</v>
      </c>
      <c r="B31" s="239"/>
      <c r="C31" s="239"/>
      <c r="D31" s="230"/>
      <c r="H31" s="298"/>
      <c r="J31" s="578"/>
      <c r="K31" s="578"/>
    </row>
    <row r="32" spans="1:11" ht="12.75">
      <c r="A32" s="241" t="s">
        <v>817</v>
      </c>
      <c r="B32" s="19"/>
      <c r="C32" s="237">
        <f>Checkliste!L16</f>
        <v>0</v>
      </c>
      <c r="D32" s="124"/>
      <c r="H32" s="298"/>
      <c r="J32" s="578"/>
      <c r="K32" s="578"/>
    </row>
    <row r="33" spans="1:11" ht="12.75">
      <c r="A33" s="241" t="s">
        <v>818</v>
      </c>
      <c r="B33" s="19"/>
      <c r="C33" s="237">
        <f>Checkliste!P16</f>
        <v>0</v>
      </c>
      <c r="D33" s="124"/>
      <c r="H33" s="298"/>
      <c r="J33" s="578"/>
      <c r="K33" s="578"/>
    </row>
    <row r="34" spans="1:11" ht="12.75">
      <c r="A34" s="241" t="s">
        <v>819</v>
      </c>
      <c r="B34" s="19"/>
      <c r="C34" s="19">
        <f>Checkliste!L17</f>
        <v>-40</v>
      </c>
      <c r="D34" s="124"/>
      <c r="H34" s="298"/>
      <c r="J34" s="578"/>
      <c r="K34" s="578"/>
    </row>
    <row r="35" spans="1:11" ht="12.75">
      <c r="A35" s="241" t="s">
        <v>820</v>
      </c>
      <c r="B35" s="19"/>
      <c r="C35" s="19">
        <f>Checkliste!P17</f>
        <v>-40</v>
      </c>
      <c r="D35" s="124"/>
      <c r="H35" s="298"/>
      <c r="J35" s="578"/>
      <c r="K35" s="578"/>
    </row>
    <row r="36" spans="1:11" ht="12.75">
      <c r="A36" s="241" t="s">
        <v>821</v>
      </c>
      <c r="B36" s="19"/>
      <c r="C36" s="19">
        <f>Checkliste!L19</f>
        <v>-40</v>
      </c>
      <c r="D36" s="124"/>
      <c r="H36" s="298"/>
      <c r="J36" s="578"/>
      <c r="K36" s="578"/>
    </row>
    <row r="37" spans="1:11" ht="12.75">
      <c r="A37" s="241" t="s">
        <v>822</v>
      </c>
      <c r="B37" s="19"/>
      <c r="C37" s="19">
        <f>Checkliste!P19</f>
        <v>-40</v>
      </c>
      <c r="D37" s="124"/>
      <c r="H37" s="298"/>
      <c r="J37" s="578"/>
      <c r="K37" s="578"/>
    </row>
    <row r="38" spans="1:11" ht="15">
      <c r="A38" s="242" t="s">
        <v>823</v>
      </c>
      <c r="B38" s="239"/>
      <c r="C38" s="239"/>
      <c r="D38" s="230"/>
      <c r="H38" s="298"/>
      <c r="J38" s="578"/>
      <c r="K38" s="578"/>
    </row>
    <row r="39" spans="1:11" ht="12.75">
      <c r="A39" s="243" t="s">
        <v>759</v>
      </c>
      <c r="B39" s="19">
        <f>IF(C39=TRUE,1,0)</f>
        <v>0</v>
      </c>
      <c r="C39" s="19" t="b">
        <v>0</v>
      </c>
      <c r="D39" s="124"/>
      <c r="H39" s="299" t="str">
        <f>IF(B39=1," ohne Griffprofil "," ")</f>
        <v> </v>
      </c>
      <c r="J39" s="578" t="str">
        <f>IF(B39=1,"FRONTDESIGN OHNE GRIFFPROFIL"," ")</f>
        <v> </v>
      </c>
      <c r="K39" s="578"/>
    </row>
    <row r="40" spans="1:11" ht="12.75">
      <c r="A40" s="243" t="s">
        <v>760</v>
      </c>
      <c r="B40" s="19">
        <f>IF(C40=TRUE,1,0)</f>
        <v>0</v>
      </c>
      <c r="C40" s="19" t="b">
        <v>0</v>
      </c>
      <c r="D40" s="124"/>
      <c r="H40" s="299" t="str">
        <f>IF(B40=1," mit Griffprofil unten "," ")</f>
        <v> </v>
      </c>
      <c r="J40" s="578" t="str">
        <f>IF(B40=1,"FRONTDESIGN MIT GRIFFPROFIL UNTEN"," ")</f>
        <v> </v>
      </c>
      <c r="K40" s="578"/>
    </row>
    <row r="41" spans="1:11" ht="12.75">
      <c r="A41" s="243" t="s">
        <v>824</v>
      </c>
      <c r="B41" s="19">
        <f>IF(C41=TRUE,1,0)</f>
        <v>0</v>
      </c>
      <c r="C41" s="19" t="b">
        <v>0</v>
      </c>
      <c r="D41" s="124"/>
      <c r="H41" s="299" t="str">
        <f>IF(B41=1," mit Griffprofil links und rechts "," ")</f>
        <v> </v>
      </c>
      <c r="J41" s="578" t="str">
        <f>IF(B41=1,"FRONTDESIGN MIT GRIFFPROFIL LINKS + RECHTS"," ")</f>
        <v> </v>
      </c>
      <c r="K41" s="578"/>
    </row>
    <row r="42" spans="1:11" ht="12.75">
      <c r="A42" s="243" t="s">
        <v>825</v>
      </c>
      <c r="B42" s="19">
        <f>IF(C42=TRUE,1,0)</f>
        <v>0</v>
      </c>
      <c r="C42" s="19" t="b">
        <v>0</v>
      </c>
      <c r="D42" s="124"/>
      <c r="H42" s="299" t="str">
        <f>IF(B42=1," mit Griffprofil links, rechts und unten "," ")</f>
        <v> </v>
      </c>
      <c r="J42" s="578" t="str">
        <f>IF(B42=1,"FRONTDESIGN MIT GRIFFPROFIL LINKS + RECHTS + UNTEN"," ")</f>
        <v> </v>
      </c>
      <c r="K42" s="578"/>
    </row>
    <row r="43" spans="1:11" ht="12.75">
      <c r="A43" s="243" t="s">
        <v>763</v>
      </c>
      <c r="B43" s="19">
        <f>IF(C43=TRUE,1,0)</f>
        <v>0</v>
      </c>
      <c r="C43" s="19" t="b">
        <v>0</v>
      </c>
      <c r="D43" s="124"/>
      <c r="H43" s="299" t="str">
        <f>IF(B43=1," mit Griffprofil umlaufend "," ")</f>
        <v> </v>
      </c>
      <c r="J43" s="578" t="str">
        <f>IF(B43=1,"FRONTDESIGN MIT GRIFFPROFIL UMLAUFEND"," ")</f>
        <v> </v>
      </c>
      <c r="K43" s="578"/>
    </row>
    <row r="44" spans="1:11" ht="15">
      <c r="A44" s="238" t="s">
        <v>826</v>
      </c>
      <c r="B44" s="244"/>
      <c r="C44" s="239"/>
      <c r="D44" s="230"/>
      <c r="E44" s="33" t="s">
        <v>1042</v>
      </c>
      <c r="H44" s="298"/>
      <c r="J44" s="578"/>
      <c r="K44" s="578"/>
    </row>
    <row r="45" spans="1:11" ht="12.75">
      <c r="A45" s="245" t="s">
        <v>827</v>
      </c>
      <c r="B45" s="19">
        <f aca="true" t="shared" si="0" ref="B45:B107">IF(C45=TRUE,1,0)</f>
        <v>0</v>
      </c>
      <c r="C45" s="19" t="b">
        <v>0</v>
      </c>
      <c r="D45" s="124"/>
      <c r="E45" s="33">
        <f>IF(B45=1,120,0)</f>
        <v>0</v>
      </c>
      <c r="H45" s="299" t="str">
        <f>IF(B45=1," Frontrahmen 120 "," ")</f>
        <v> </v>
      </c>
      <c r="J45" s="578" t="str">
        <f>IF(B45=1,"GEHÄUSE 120 mm TIEF OHNE TÜRPROFIL"," ")</f>
        <v> </v>
      </c>
      <c r="K45" s="578"/>
    </row>
    <row r="46" spans="1:11" ht="12.75">
      <c r="A46" s="245" t="s">
        <v>829</v>
      </c>
      <c r="B46" s="19">
        <f t="shared" si="0"/>
        <v>0</v>
      </c>
      <c r="C46" s="19" t="b">
        <v>0</v>
      </c>
      <c r="D46" s="124"/>
      <c r="E46" s="33"/>
      <c r="H46" s="299" t="str">
        <f>IF(B46+B90=2," Frontplatte von innen incl. Dichtung montieren "," ")</f>
        <v> </v>
      </c>
      <c r="J46" s="578" t="str">
        <f>IF(B46+$B$90=2,"Frontplatte von INNEN montiert"," ")</f>
        <v> </v>
      </c>
      <c r="K46" s="578"/>
    </row>
    <row r="47" spans="1:11" ht="12.75">
      <c r="A47" s="245" t="s">
        <v>830</v>
      </c>
      <c r="B47" s="19">
        <f t="shared" si="0"/>
        <v>0</v>
      </c>
      <c r="C47" s="19" t="b">
        <v>0</v>
      </c>
      <c r="D47" s="124"/>
      <c r="E47" s="33"/>
      <c r="H47" s="299" t="str">
        <f>IF(B47+B90=2," Frontplatte von außen incl. Dichtung montieren "," ")</f>
        <v> </v>
      </c>
      <c r="J47" s="578" t="str">
        <f>IF(B47+$B$90=2,"Frontplatte von AUSSEN montiert"," ")</f>
        <v> </v>
      </c>
      <c r="K47" s="578"/>
    </row>
    <row r="48" spans="1:11" ht="12.75">
      <c r="A48" s="245" t="s">
        <v>7</v>
      </c>
      <c r="B48" s="19">
        <f t="shared" si="0"/>
        <v>0</v>
      </c>
      <c r="C48" s="19" t="b">
        <v>0</v>
      </c>
      <c r="D48" s="124"/>
      <c r="E48" s="33"/>
      <c r="H48" s="299" t="str">
        <f>IF(B48=1," Rückwand fest am Profil verschraubt, incl. Dichtung einlegen "," ")</f>
        <v> </v>
      </c>
      <c r="J48" s="578" t="str">
        <f>IF(B48+$B$96=2,"RÜCKWAND FEST verschraubt"," ")</f>
        <v> </v>
      </c>
      <c r="K48" s="578"/>
    </row>
    <row r="49" spans="1:11" ht="12.75">
      <c r="A49" s="245" t="s">
        <v>5</v>
      </c>
      <c r="B49" s="19">
        <f t="shared" si="0"/>
        <v>0</v>
      </c>
      <c r="C49" s="19" t="b">
        <f>C98</f>
        <v>0</v>
      </c>
      <c r="D49" s="124"/>
      <c r="E49" s="33"/>
      <c r="H49" s="298"/>
      <c r="J49" s="578" t="str">
        <f>IF(B98+$B$96=2,"RÜCKWAND SCHWENKBAR mit Verschraubtem Rückwandgelenk"," ")</f>
        <v> </v>
      </c>
      <c r="K49" s="578"/>
    </row>
    <row r="50" spans="1:11" ht="12.75">
      <c r="A50" s="245" t="s">
        <v>828</v>
      </c>
      <c r="B50" s="19">
        <f t="shared" si="0"/>
        <v>0</v>
      </c>
      <c r="C50" s="19" t="b">
        <v>0</v>
      </c>
      <c r="D50" s="124"/>
      <c r="E50" s="33">
        <f>IF(B50=1,200,0)</f>
        <v>0</v>
      </c>
      <c r="H50" s="299" t="str">
        <f>IF(B50=1," Frontrahmen 200 "," ")</f>
        <v> </v>
      </c>
      <c r="J50" s="578" t="str">
        <f>IF(B50=1,"GEHÄUSE 200 mm TIEF OHNE TÜRPROFIL"," ")</f>
        <v> </v>
      </c>
      <c r="K50" s="578"/>
    </row>
    <row r="51" spans="1:11" ht="12.75">
      <c r="A51" s="245" t="s">
        <v>831</v>
      </c>
      <c r="B51" s="19">
        <f t="shared" si="0"/>
        <v>0</v>
      </c>
      <c r="C51" s="19" t="b">
        <v>0</v>
      </c>
      <c r="D51" s="124"/>
      <c r="E51" s="33"/>
      <c r="H51" s="299" t="str">
        <f>IF(B51+B90=2," Frontplatte von innen incl. Dichtung montieren "," ")</f>
        <v> </v>
      </c>
      <c r="J51" s="578" t="str">
        <f>IF(B51+$B$90=2,"Frontplatte von INNEN montiert"," ")</f>
        <v> </v>
      </c>
      <c r="K51" s="578"/>
    </row>
    <row r="52" spans="1:11" ht="12.75">
      <c r="A52" s="245" t="s">
        <v>832</v>
      </c>
      <c r="B52" s="19">
        <f t="shared" si="0"/>
        <v>0</v>
      </c>
      <c r="C52" s="19" t="b">
        <v>0</v>
      </c>
      <c r="D52" s="124"/>
      <c r="E52" s="33"/>
      <c r="H52" s="299" t="str">
        <f>IF(B52+B90=2," Frontplatte von außen incl. Dichtung montieren "," ")</f>
        <v> </v>
      </c>
      <c r="J52" s="578" t="str">
        <f>IF(B52+$B$90=2,"Frontplatte von AUSSEN montiert"," ")</f>
        <v> </v>
      </c>
      <c r="K52" s="578"/>
    </row>
    <row r="53" spans="1:11" ht="12.75">
      <c r="A53" s="245"/>
      <c r="B53" s="19"/>
      <c r="C53" s="19"/>
      <c r="D53" s="124"/>
      <c r="H53" s="298"/>
      <c r="J53" s="578"/>
      <c r="K53" s="578"/>
    </row>
    <row r="54" spans="1:11" ht="12.75">
      <c r="A54" s="245" t="s">
        <v>6</v>
      </c>
      <c r="B54" s="19">
        <f t="shared" si="0"/>
        <v>0</v>
      </c>
      <c r="C54" s="19" t="b">
        <f>C97</f>
        <v>0</v>
      </c>
      <c r="D54" s="124"/>
      <c r="H54" s="298"/>
      <c r="J54" s="578" t="str">
        <f>IF(B97+$B$96=2,"RÜCKWAND SCHWENKBAR mit Standard Scharnier"," ")</f>
        <v> </v>
      </c>
      <c r="K54" s="578"/>
    </row>
    <row r="55" spans="1:11" ht="15">
      <c r="A55" s="238" t="s">
        <v>833</v>
      </c>
      <c r="B55" s="244"/>
      <c r="C55" s="244"/>
      <c r="D55" s="230"/>
      <c r="E55" s="33" t="s">
        <v>1042</v>
      </c>
      <c r="H55" s="300" t="str">
        <f>IF(B56+B57+B62+B63=1," Außengelenke montieren für "," ")</f>
        <v> </v>
      </c>
      <c r="J55" s="578"/>
      <c r="K55" s="578"/>
    </row>
    <row r="56" spans="1:11" ht="12.75">
      <c r="A56" s="246" t="s">
        <v>834</v>
      </c>
      <c r="B56" s="19">
        <f t="shared" si="0"/>
        <v>0</v>
      </c>
      <c r="C56" s="19" t="b">
        <v>0</v>
      </c>
      <c r="D56" s="124"/>
      <c r="E56" s="33">
        <f>IF(B56=1,175,0)</f>
        <v>0</v>
      </c>
      <c r="H56" s="299" t="str">
        <f>IF(B56=1," Fronttür 55 mit Rahmen 120 "," ")</f>
        <v> </v>
      </c>
      <c r="J56" s="578" t="str">
        <f>IF(B56=1,"GEHÄUSE 175 mm TIEF MIT TÜR VORNE"," ")</f>
        <v> </v>
      </c>
      <c r="K56" s="578"/>
    </row>
    <row r="57" spans="1:11" ht="13.5" thickBot="1">
      <c r="A57" s="246" t="s">
        <v>151</v>
      </c>
      <c r="B57" s="19">
        <f t="shared" si="0"/>
        <v>0</v>
      </c>
      <c r="C57" s="19" t="b">
        <v>0</v>
      </c>
      <c r="D57" s="124"/>
      <c r="E57" s="33">
        <f>IF(B57=1,175,0)</f>
        <v>0</v>
      </c>
      <c r="H57" s="302" t="str">
        <f>IF(B57=1," Frontrahmen 120 mit Tür 55 "," ")</f>
        <v> </v>
      </c>
      <c r="J57" s="578" t="str">
        <f>IF(B57=1,"GEHÄUSE 175 mm TIEF MIT TÜR HINTEN"," ")</f>
        <v> </v>
      </c>
      <c r="K57" s="578"/>
    </row>
    <row r="58" spans="1:11" ht="13.5" thickBot="1">
      <c r="A58" s="246" t="s">
        <v>835</v>
      </c>
      <c r="B58" s="19">
        <f t="shared" si="0"/>
        <v>0</v>
      </c>
      <c r="C58" s="19" t="b">
        <v>0</v>
      </c>
      <c r="D58" s="124"/>
      <c r="H58" s="303" t="str">
        <f>IF(B58+B90=2," Frontplatte von innen incl. Dichtung montieren "," ")</f>
        <v> </v>
      </c>
      <c r="I58" s="304" t="str">
        <f>IF(B58+B96=2," Rückwand von innen incl. Dichtung montieren "," ")</f>
        <v> </v>
      </c>
      <c r="J58" s="578" t="str">
        <f>IF(B58+$B$90=2,"Frontplatte von INNEN montiert"," ")</f>
        <v> </v>
      </c>
      <c r="K58" s="578" t="str">
        <f>IF(B58+$B$96=2,"Rückwand von INNEN montiert"," ")</f>
        <v> </v>
      </c>
    </row>
    <row r="59" spans="1:11" ht="13.5" thickBot="1">
      <c r="A59" s="246" t="s">
        <v>842</v>
      </c>
      <c r="B59" s="19">
        <f t="shared" si="0"/>
        <v>0</v>
      </c>
      <c r="C59" s="19" t="b">
        <v>0</v>
      </c>
      <c r="D59" s="124"/>
      <c r="H59" s="303" t="str">
        <f>IF(B59+B90=2," Frontplatte von innen incl. Dichtung montieren "," ")</f>
        <v> </v>
      </c>
      <c r="I59" s="304" t="str">
        <f>IF(B59+B96=2," Rückwand von außen incl. Dichtung montieren "," ")</f>
        <v> </v>
      </c>
      <c r="J59" s="578" t="str">
        <f>IF(B59+$B$90=2,"Frontplatte von INNEN montiert"," ")</f>
        <v> </v>
      </c>
      <c r="K59" s="578" t="str">
        <f>IF(B59+$B$96=2,"Rückwand von AUSSEN montiert"," ")</f>
        <v> </v>
      </c>
    </row>
    <row r="60" spans="1:11" ht="13.5" thickBot="1">
      <c r="A60" s="246" t="s">
        <v>836</v>
      </c>
      <c r="B60" s="19">
        <f t="shared" si="0"/>
        <v>0</v>
      </c>
      <c r="C60" s="19" t="b">
        <v>0</v>
      </c>
      <c r="D60" s="124"/>
      <c r="H60" s="303" t="str">
        <f>IF(B60+B90=2," Frontplatte von außen incl. Dichtung montieren "," ")</f>
        <v> </v>
      </c>
      <c r="I60" s="305" t="str">
        <f>IF(B60+B96=2," Rückwand von innen incl. Dichtung montieren "," ")</f>
        <v> </v>
      </c>
      <c r="J60" s="578" t="str">
        <f>IF(B60+$B$90=2,"Frontplatte von AUSSEN montiert"," ")</f>
        <v> </v>
      </c>
      <c r="K60" s="578" t="str">
        <f>IF(B60+$B$96=2,"Rückwand von INNEN montiert"," ")</f>
        <v> </v>
      </c>
    </row>
    <row r="61" spans="1:11" ht="13.5" thickBot="1">
      <c r="A61" s="246" t="s">
        <v>837</v>
      </c>
      <c r="B61" s="19">
        <f t="shared" si="0"/>
        <v>0</v>
      </c>
      <c r="C61" s="19" t="b">
        <v>0</v>
      </c>
      <c r="D61" s="124"/>
      <c r="H61" s="303" t="str">
        <f>IF(B61+B90=2," Frontplatte von außen incl. Dichtung montieren "," ")</f>
        <v> </v>
      </c>
      <c r="I61" s="305" t="str">
        <f>IF(B61+B96=2," Rückwand von außen incl. Dichtung montieren "," ")</f>
        <v> </v>
      </c>
      <c r="J61" s="578" t="str">
        <f>IF(B61+$B$90=2,"Frontplatte von AUSSEN montiert"," ")</f>
        <v> </v>
      </c>
      <c r="K61" s="578" t="str">
        <f>IF(B61+$B$96=2,"Rückwand von AUSSEN montiert"," ")</f>
        <v> </v>
      </c>
    </row>
    <row r="62" spans="1:11" ht="12.75">
      <c r="A62" s="246" t="s">
        <v>838</v>
      </c>
      <c r="B62" s="19">
        <f t="shared" si="0"/>
        <v>0</v>
      </c>
      <c r="C62" s="19" t="b">
        <v>0</v>
      </c>
      <c r="D62" s="124"/>
      <c r="E62" s="33">
        <f>IF(B62=1,255,0)</f>
        <v>0</v>
      </c>
      <c r="H62" s="299" t="str">
        <f>IF(B62=1," Fronttür 55 mit Rahmen 200 "," ")</f>
        <v> </v>
      </c>
      <c r="J62" s="578" t="str">
        <f>IF(B62=1,"GEHÄUSE 255 mm TIEF MIT TÜR VORNE"," ")</f>
        <v> </v>
      </c>
      <c r="K62" s="578"/>
    </row>
    <row r="63" spans="1:11" ht="13.5" thickBot="1">
      <c r="A63" s="246" t="s">
        <v>152</v>
      </c>
      <c r="B63" s="19">
        <f t="shared" si="0"/>
        <v>0</v>
      </c>
      <c r="C63" s="19" t="b">
        <v>0</v>
      </c>
      <c r="D63" s="124"/>
      <c r="E63" s="33">
        <f>IF(B63=1,255,0)</f>
        <v>0</v>
      </c>
      <c r="H63" s="302" t="str">
        <f>IF(B63=1," Frontrahmen 200 mit Tür 55 "," ")</f>
        <v> </v>
      </c>
      <c r="J63" s="578" t="str">
        <f>IF(B63=1,"GEHÄUSE 255 mm TIEF MIT TÜR HINTEN"," ")</f>
        <v> </v>
      </c>
      <c r="K63" s="578"/>
    </row>
    <row r="64" spans="1:11" ht="13.5" thickBot="1">
      <c r="A64" s="246" t="s">
        <v>839</v>
      </c>
      <c r="B64" s="19">
        <f t="shared" si="0"/>
        <v>0</v>
      </c>
      <c r="C64" s="19" t="b">
        <v>0</v>
      </c>
      <c r="D64" s="124"/>
      <c r="H64" s="303" t="str">
        <f>IF(B64+B90=2," Frontplatte von innen incl. Dichtung montieren "," ")</f>
        <v> </v>
      </c>
      <c r="I64" s="305" t="str">
        <f>IF(B64+B96=2," Rückwand von innen incl. Dichtung montieren "," ")</f>
        <v> </v>
      </c>
      <c r="J64" s="578" t="str">
        <f>IF(B64+$B$90=2,"Frontplatte von INNEN montiert"," ")</f>
        <v> </v>
      </c>
      <c r="K64" s="578" t="str">
        <f>IF(B64+$B$96=2,"Rückwand von INNEN montiert"," ")</f>
        <v> </v>
      </c>
    </row>
    <row r="65" spans="1:11" ht="13.5" thickBot="1">
      <c r="A65" s="246" t="s">
        <v>843</v>
      </c>
      <c r="B65" s="19">
        <f t="shared" si="0"/>
        <v>0</v>
      </c>
      <c r="C65" s="19" t="b">
        <v>0</v>
      </c>
      <c r="D65" s="124"/>
      <c r="H65" s="303" t="str">
        <f>IF(B65+B90=2," Frontplatte von innen incl. Dichtung montieren "," ")</f>
        <v> </v>
      </c>
      <c r="I65" s="305" t="str">
        <f>IF(B65+B96=2," Rückwand von außen incl. Dichtung montieren "," ")</f>
        <v> </v>
      </c>
      <c r="J65" s="578" t="str">
        <f>IF(B65+$B$90=2,"Frontplatte von INNEN montiert"," ")</f>
        <v> </v>
      </c>
      <c r="K65" s="578" t="str">
        <f>IF(B65+$B$96=2,"Rückwand von AUSSEN montiert"," ")</f>
        <v> </v>
      </c>
    </row>
    <row r="66" spans="1:11" ht="13.5" thickBot="1">
      <c r="A66" s="246" t="s">
        <v>840</v>
      </c>
      <c r="B66" s="19">
        <f t="shared" si="0"/>
        <v>0</v>
      </c>
      <c r="C66" s="19" t="b">
        <v>0</v>
      </c>
      <c r="D66" s="124"/>
      <c r="H66" s="303" t="str">
        <f>IF(B66+B90=2," Frontplatte von außen incl. Dichtung montieren "," ")</f>
        <v> </v>
      </c>
      <c r="I66" s="305" t="str">
        <f>IF(B66+B96=2," Rückwand von innen incl. Dichtung montieren "," ")</f>
        <v> </v>
      </c>
      <c r="J66" s="578" t="str">
        <f>IF(B66+$B$90=2,"Frontplatte von AUSSEN montiert"," ")</f>
        <v> </v>
      </c>
      <c r="K66" s="578" t="str">
        <f>IF(B66+$B$96=2,"Rückwand von INNEN montiert"," ")</f>
        <v> </v>
      </c>
    </row>
    <row r="67" spans="1:11" ht="13.5" thickBot="1">
      <c r="A67" s="246" t="s">
        <v>841</v>
      </c>
      <c r="B67" s="19">
        <f t="shared" si="0"/>
        <v>0</v>
      </c>
      <c r="C67" s="19" t="b">
        <v>0</v>
      </c>
      <c r="D67" s="124"/>
      <c r="H67" s="303" t="str">
        <f>IF(B67+B90=2," Frontplatte von außen incl. Dichtung montieren "," ")</f>
        <v> </v>
      </c>
      <c r="I67" s="305" t="str">
        <f>IF(B67+B96=2," Rückwand von außen incl. Dichtung montieren "," ")</f>
        <v> </v>
      </c>
      <c r="J67" s="578" t="str">
        <f>IF(B67+$B$90=2,"Frontplatte von AUSSEN montiert"," ")</f>
        <v> </v>
      </c>
      <c r="K67" s="578" t="str">
        <f>IF(B67+$B$96=2,"Rückwand von AUSSEN montiert"," ")</f>
        <v> </v>
      </c>
    </row>
    <row r="68" spans="1:11" ht="15">
      <c r="A68" s="238" t="s">
        <v>845</v>
      </c>
      <c r="B68" s="244"/>
      <c r="C68" s="244"/>
      <c r="D68" s="230"/>
      <c r="H68" s="306" t="str">
        <f>IF(B97+B98+B56+B57+B62+B63+B69+B70+B71+B72=2," nach Checkliste : ",IF(B97+B98+B56+B57+B62+B63+B69+B70+B71+B72=1," Eingabe in Checkliste unvollständig ! ",IF(B97+B98+B56+B57+B62+B63+B69+B70+B71+B72=0," ")))</f>
        <v> </v>
      </c>
      <c r="J68" s="578"/>
      <c r="K68" s="578"/>
    </row>
    <row r="69" spans="1:11" ht="12.75">
      <c r="A69" s="246" t="s">
        <v>844</v>
      </c>
      <c r="B69" s="19">
        <f t="shared" si="0"/>
        <v>0</v>
      </c>
      <c r="C69" s="19" t="b">
        <v>0</v>
      </c>
      <c r="D69" s="124"/>
      <c r="H69" s="299" t="str">
        <f>IF(B69=1," Türanschlag vorne LINKS "," ")</f>
        <v> </v>
      </c>
      <c r="J69" s="578"/>
      <c r="K69" s="578"/>
    </row>
    <row r="70" spans="1:11" ht="12.75">
      <c r="A70" s="246" t="s">
        <v>848</v>
      </c>
      <c r="B70" s="19">
        <f t="shared" si="0"/>
        <v>0</v>
      </c>
      <c r="C70" s="19" t="b">
        <v>0</v>
      </c>
      <c r="D70" s="124"/>
      <c r="H70" s="299" t="str">
        <f>IF(B70=1," Türanschlag vorne RECHTS "," ")</f>
        <v> </v>
      </c>
      <c r="J70" s="578"/>
      <c r="K70" s="578"/>
    </row>
    <row r="71" spans="1:11" ht="12.75">
      <c r="A71" s="246" t="s">
        <v>846</v>
      </c>
      <c r="B71" s="19">
        <f t="shared" si="0"/>
        <v>0</v>
      </c>
      <c r="C71" s="19" t="b">
        <v>0</v>
      </c>
      <c r="D71" s="124"/>
      <c r="H71" s="299" t="str">
        <f>IF(B71=1," Türanschlag hinten LINKS "," ")</f>
        <v> </v>
      </c>
      <c r="J71" s="578"/>
      <c r="K71" s="578"/>
    </row>
    <row r="72" spans="1:11" ht="12.75">
      <c r="A72" s="246" t="s">
        <v>847</v>
      </c>
      <c r="B72" s="19">
        <f t="shared" si="0"/>
        <v>0</v>
      </c>
      <c r="C72" s="19" t="b">
        <v>0</v>
      </c>
      <c r="D72" s="124"/>
      <c r="H72" s="299" t="str">
        <f>IF(B72=1," Türanschlag hinten RECHTS "," ")</f>
        <v> </v>
      </c>
      <c r="J72" s="578"/>
      <c r="K72" s="578"/>
    </row>
    <row r="73" spans="1:11" ht="15">
      <c r="A73" s="238" t="s">
        <v>849</v>
      </c>
      <c r="B73" s="244"/>
      <c r="C73" s="244"/>
      <c r="D73" s="230"/>
      <c r="H73" s="301" t="str">
        <f>IF(B74+B75+B76+B77+B78+B79+B80+B81+B82+B83+B84+B85+B86+B87&gt;0," Verschluß   "," ")&amp;form!M32*(B56+B57+B62+B63)&amp;"  x  "</f>
        <v> 0  x  </v>
      </c>
      <c r="J73" s="578"/>
      <c r="K73" s="578"/>
    </row>
    <row r="74" spans="1:11" ht="12.75">
      <c r="A74" s="246" t="s">
        <v>850</v>
      </c>
      <c r="B74" s="19">
        <f t="shared" si="0"/>
        <v>0</v>
      </c>
      <c r="C74" s="19" t="b">
        <v>0</v>
      </c>
      <c r="D74" s="124"/>
      <c r="H74" s="299" t="str">
        <f>IF(B74=1," Vierkant 6mm "," ")</f>
        <v> </v>
      </c>
      <c r="J74" s="578" t="str">
        <f>IF(B74=1,"VIERKANT 6 mm"," ")</f>
        <v> </v>
      </c>
      <c r="K74" s="578"/>
    </row>
    <row r="75" spans="1:11" ht="12.75">
      <c r="A75" s="246" t="s">
        <v>851</v>
      </c>
      <c r="B75" s="19">
        <f t="shared" si="0"/>
        <v>0</v>
      </c>
      <c r="C75" s="19" t="b">
        <v>0</v>
      </c>
      <c r="D75" s="124"/>
      <c r="H75" s="299" t="str">
        <f>IF(B75=1," Vierkant 7mm "," ")</f>
        <v> </v>
      </c>
      <c r="J75" s="578" t="str">
        <f>IF(B75=1,"VIERKANT 7 mm"," ")</f>
        <v> </v>
      </c>
      <c r="K75" s="578"/>
    </row>
    <row r="76" spans="1:11" ht="12.75">
      <c r="A76" s="246" t="s">
        <v>861</v>
      </c>
      <c r="B76" s="19">
        <f t="shared" si="0"/>
        <v>0</v>
      </c>
      <c r="C76" s="19" t="b">
        <v>0</v>
      </c>
      <c r="D76" s="124"/>
      <c r="H76" s="299" t="str">
        <f>IF(B76=1," Vierkant 8mm "," ")</f>
        <v> </v>
      </c>
      <c r="J76" s="578" t="str">
        <f>IF(B76=1,"VIERKANT 8 mm Standard"," ")</f>
        <v> </v>
      </c>
      <c r="K76" s="578"/>
    </row>
    <row r="77" spans="1:11" ht="12.75">
      <c r="A77" s="246" t="s">
        <v>852</v>
      </c>
      <c r="B77" s="19">
        <f t="shared" si="0"/>
        <v>0</v>
      </c>
      <c r="C77" s="19" t="b">
        <v>0</v>
      </c>
      <c r="D77" s="124"/>
      <c r="H77" s="299" t="str">
        <f>IF(B77=1," Dreikant 7mm "," ")</f>
        <v> </v>
      </c>
      <c r="J77" s="578" t="str">
        <f>IF(B77=1,"DREIKANT 7 mm"," ")</f>
        <v> </v>
      </c>
      <c r="K77" s="578"/>
    </row>
    <row r="78" spans="1:11" ht="12.75">
      <c r="A78" s="246" t="s">
        <v>853</v>
      </c>
      <c r="B78" s="19">
        <f t="shared" si="0"/>
        <v>0</v>
      </c>
      <c r="C78" s="19" t="b">
        <v>0</v>
      </c>
      <c r="D78" s="124"/>
      <c r="H78" s="299" t="str">
        <f>IF(B78=1," Dreikant 8mm "," ")</f>
        <v> </v>
      </c>
      <c r="J78" s="578" t="str">
        <f>IF(B78=1,"DREIKANT 8 mm"," ")</f>
        <v> </v>
      </c>
      <c r="K78" s="578"/>
    </row>
    <row r="79" spans="1:11" ht="12.75">
      <c r="A79" s="246" t="s">
        <v>860</v>
      </c>
      <c r="B79" s="19">
        <f t="shared" si="0"/>
        <v>0</v>
      </c>
      <c r="C79" s="19" t="b">
        <v>0</v>
      </c>
      <c r="D79" s="124"/>
      <c r="H79" s="299" t="str">
        <f>IF(B79=1," Dreikant 6,5mm CNOMO "," ")</f>
        <v> </v>
      </c>
      <c r="J79" s="578" t="str">
        <f>IF(B79=1,"DREIKANT 6,5 mm CNOMO"," ")</f>
        <v> </v>
      </c>
      <c r="K79" s="578"/>
    </row>
    <row r="80" spans="1:11" ht="12.75">
      <c r="A80" s="246" t="s">
        <v>854</v>
      </c>
      <c r="B80" s="19">
        <f t="shared" si="0"/>
        <v>0</v>
      </c>
      <c r="C80" s="19" t="b">
        <v>0</v>
      </c>
      <c r="D80" s="124"/>
      <c r="H80" s="299" t="str">
        <f>IF(B80=1," Doppelbart 3mm "," ")</f>
        <v> </v>
      </c>
      <c r="J80" s="578" t="str">
        <f>IF(B80=1,"DOPPELBART 3 mm"," ")</f>
        <v> </v>
      </c>
      <c r="K80" s="578"/>
    </row>
    <row r="81" spans="1:11" ht="12.75">
      <c r="A81" s="246" t="s">
        <v>855</v>
      </c>
      <c r="B81" s="19">
        <f t="shared" si="0"/>
        <v>0</v>
      </c>
      <c r="C81" s="19" t="b">
        <v>0</v>
      </c>
      <c r="D81" s="124"/>
      <c r="H81" s="299" t="str">
        <f>IF(B81=1," Doppelbart 5mm "," ")</f>
        <v> </v>
      </c>
      <c r="J81" s="578" t="str">
        <f>IF(B81=1,"DOPPELBART 5 mm"," ")</f>
        <v> </v>
      </c>
      <c r="K81" s="578"/>
    </row>
    <row r="82" spans="1:11" ht="12.75">
      <c r="A82" s="246" t="s">
        <v>856</v>
      </c>
      <c r="B82" s="19">
        <f t="shared" si="0"/>
        <v>0</v>
      </c>
      <c r="C82" s="19" t="b">
        <v>0</v>
      </c>
      <c r="D82" s="124"/>
      <c r="H82" s="299" t="str">
        <f>IF(B82=1," Daimler Benz "," ")</f>
        <v> </v>
      </c>
      <c r="J82" s="578" t="str">
        <f>IF(B82=1,"DAIMLER BENZ"," ")</f>
        <v> </v>
      </c>
      <c r="K82" s="578"/>
    </row>
    <row r="83" spans="1:11" ht="12.75">
      <c r="A83" s="246" t="s">
        <v>857</v>
      </c>
      <c r="B83" s="19">
        <f t="shared" si="0"/>
        <v>0</v>
      </c>
      <c r="C83" s="19" t="b">
        <v>0</v>
      </c>
      <c r="D83" s="124"/>
      <c r="H83" s="299" t="str">
        <f>IF(B83=1," Sonderverschluß n.KD-Wunsch "," ")</f>
        <v> </v>
      </c>
      <c r="J83" s="578" t="str">
        <f>IF(B83=1,"SONDERVERSCHLUSS / KUNDENWUNSCH"," ")</f>
        <v> </v>
      </c>
      <c r="K83" s="578"/>
    </row>
    <row r="84" spans="1:11" ht="12.75">
      <c r="A84" s="246" t="s">
        <v>858</v>
      </c>
      <c r="B84" s="19">
        <f t="shared" si="0"/>
        <v>0</v>
      </c>
      <c r="C84" s="19" t="b">
        <v>0</v>
      </c>
      <c r="D84" s="124"/>
      <c r="H84" s="299" t="str">
        <f>IF(B84=1," Knebel ohne Schloß "," ")</f>
        <v> </v>
      </c>
      <c r="J84" s="578" t="str">
        <f>IF(B84=1,"KNEBEL OHNE SCHLOSS"," ")</f>
        <v> </v>
      </c>
      <c r="K84" s="578"/>
    </row>
    <row r="85" spans="1:11" ht="12.75">
      <c r="A85" s="246" t="s">
        <v>859</v>
      </c>
      <c r="B85" s="19">
        <f t="shared" si="0"/>
        <v>0</v>
      </c>
      <c r="C85" s="19" t="b">
        <v>0</v>
      </c>
      <c r="D85" s="124"/>
      <c r="H85" s="299" t="str">
        <f>IF(B85=1," Knebel mit Schloß "," ")</f>
        <v> </v>
      </c>
      <c r="J85" s="578" t="str">
        <f>IF(B85=1,"KNEBEL MIT SCHLOSS"," ")</f>
        <v> </v>
      </c>
      <c r="K85" s="578"/>
    </row>
    <row r="86" spans="1:11" ht="12.75">
      <c r="A86" s="246" t="s">
        <v>696</v>
      </c>
      <c r="B86" s="19">
        <f t="shared" si="0"/>
        <v>0</v>
      </c>
      <c r="C86" s="19" t="b">
        <v>0</v>
      </c>
      <c r="D86" s="124"/>
      <c r="H86" s="299" t="str">
        <f>IF(B86=1," E1 "," ")</f>
        <v> </v>
      </c>
      <c r="J86" s="578" t="str">
        <f>IF(B86=1,"E1 OHNE SCHLÜSSEL"," ")</f>
        <v> </v>
      </c>
      <c r="K86" s="578"/>
    </row>
    <row r="87" spans="1:11" ht="12.75">
      <c r="A87" s="246" t="s">
        <v>790</v>
      </c>
      <c r="B87" s="19">
        <f t="shared" si="0"/>
        <v>0</v>
      </c>
      <c r="C87" s="19" t="b">
        <v>0</v>
      </c>
      <c r="D87" s="124"/>
      <c r="H87" s="299" t="str">
        <f>IF(B87=1," Knebel E1 "," ")</f>
        <v> </v>
      </c>
      <c r="I87" s="116" t="str">
        <f>IF(B74+B75+B76+B77+B78+B79+B80+B81+B82+B83+B84+B85+B86+B87&gt;0," montieren.   "," ")</f>
        <v> </v>
      </c>
      <c r="J87" s="578" t="str">
        <f>IF(B87=1,"KNEBEL E1 OHNE SCHLÜSSEL"," ")</f>
        <v> </v>
      </c>
      <c r="K87" s="578"/>
    </row>
    <row r="88" spans="1:11" ht="15">
      <c r="A88" s="238" t="s">
        <v>862</v>
      </c>
      <c r="B88" s="244"/>
      <c r="C88" s="244"/>
      <c r="D88" s="230"/>
      <c r="H88" s="298"/>
      <c r="J88" s="578"/>
      <c r="K88" s="578"/>
    </row>
    <row r="89" spans="1:11" ht="12.75">
      <c r="A89" s="246" t="s">
        <v>693</v>
      </c>
      <c r="B89" s="19">
        <f t="shared" si="0"/>
        <v>0</v>
      </c>
      <c r="C89" s="19" t="b">
        <v>0</v>
      </c>
      <c r="D89" s="124"/>
      <c r="H89" s="298"/>
      <c r="J89" s="578"/>
      <c r="K89" s="578"/>
    </row>
    <row r="90" spans="1:11" ht="12.75">
      <c r="A90" s="246" t="s">
        <v>4</v>
      </c>
      <c r="B90" s="19">
        <f t="shared" si="0"/>
        <v>0</v>
      </c>
      <c r="C90" s="19" t="b">
        <v>0</v>
      </c>
      <c r="D90" s="124"/>
      <c r="H90" s="298"/>
      <c r="J90" s="578"/>
      <c r="K90" s="578"/>
    </row>
    <row r="91" spans="1:11" ht="12.75">
      <c r="A91" s="246" t="s">
        <v>1022</v>
      </c>
      <c r="B91" s="19">
        <f t="shared" si="0"/>
        <v>0</v>
      </c>
      <c r="C91" s="19" t="b">
        <v>0</v>
      </c>
      <c r="D91" s="99">
        <f>Checkliste!AE63</f>
        <v>0</v>
      </c>
      <c r="H91" s="298"/>
      <c r="J91" s="578" t="str">
        <f>IF(B91=1,"19 Zoll Montageset   "&amp;D91&amp;" Stück"," ")</f>
        <v> </v>
      </c>
      <c r="K91" s="578"/>
    </row>
    <row r="92" spans="1:11" ht="12.75">
      <c r="A92" s="246" t="s">
        <v>863</v>
      </c>
      <c r="B92" s="19">
        <f t="shared" si="0"/>
        <v>0</v>
      </c>
      <c r="C92" s="19" t="b">
        <v>0</v>
      </c>
      <c r="D92" s="124"/>
      <c r="H92" s="298"/>
      <c r="J92" s="578" t="str">
        <f>IF(B92=1,"Zubehör lose für INNEN montierte Frontplatte"," ")</f>
        <v> </v>
      </c>
      <c r="K92" s="578"/>
    </row>
    <row r="93" spans="1:11" ht="12.75">
      <c r="A93" s="246" t="s">
        <v>864</v>
      </c>
      <c r="B93" s="19">
        <f t="shared" si="0"/>
        <v>0</v>
      </c>
      <c r="C93" s="19" t="b">
        <v>0</v>
      </c>
      <c r="D93" s="124"/>
      <c r="H93" s="298"/>
      <c r="J93" s="578" t="str">
        <f>IF(B93=1,"Zubehör lose für AUSSEN montierte Frontplatte"," ")</f>
        <v> </v>
      </c>
      <c r="K93" s="578"/>
    </row>
    <row r="94" spans="1:11" ht="15">
      <c r="A94" s="238" t="s">
        <v>865</v>
      </c>
      <c r="B94" s="244"/>
      <c r="C94" s="244"/>
      <c r="D94" s="230"/>
      <c r="H94" s="298"/>
      <c r="J94" s="578"/>
      <c r="K94" s="578"/>
    </row>
    <row r="95" spans="1:11" ht="12.75">
      <c r="A95" s="246" t="s">
        <v>693</v>
      </c>
      <c r="B95" s="19">
        <f t="shared" si="0"/>
        <v>0</v>
      </c>
      <c r="C95" s="19" t="b">
        <v>0</v>
      </c>
      <c r="D95" s="124"/>
      <c r="H95" s="298"/>
      <c r="J95" s="578"/>
      <c r="K95" s="578"/>
    </row>
    <row r="96" spans="1:11" ht="12.75">
      <c r="A96" s="246" t="s">
        <v>866</v>
      </c>
      <c r="B96" s="19">
        <f t="shared" si="0"/>
        <v>0</v>
      </c>
      <c r="C96" s="19" t="b">
        <v>0</v>
      </c>
      <c r="D96" s="124"/>
      <c r="H96" s="298"/>
      <c r="J96" s="578"/>
      <c r="K96" s="578"/>
    </row>
    <row r="97" spans="1:11" ht="12.75">
      <c r="A97" s="246" t="s">
        <v>867</v>
      </c>
      <c r="B97" s="19">
        <f t="shared" si="0"/>
        <v>0</v>
      </c>
      <c r="C97" s="19" t="b">
        <v>0</v>
      </c>
      <c r="D97" s="124"/>
      <c r="H97" s="299" t="str">
        <f>IF(B97=1," Rückwand schwenkbar mit Scharnier und Schloß montieren, incl. Dichtung einlegen "," ")</f>
        <v> </v>
      </c>
      <c r="J97" s="578"/>
      <c r="K97" s="578"/>
    </row>
    <row r="98" spans="1:11" ht="12.75">
      <c r="A98" s="246" t="s">
        <v>868</v>
      </c>
      <c r="B98" s="19">
        <f t="shared" si="0"/>
        <v>0</v>
      </c>
      <c r="C98" s="19" t="b">
        <v>0</v>
      </c>
      <c r="D98" s="124"/>
      <c r="H98" s="299" t="str">
        <f>IF(B98=1," Rückwand schwenkbar mit verschraubten Gelenk und Schloß montieren, incl. Dichtung einlegen "," ")</f>
        <v> </v>
      </c>
      <c r="J98" s="578"/>
      <c r="K98" s="578"/>
    </row>
    <row r="99" spans="1:11" ht="15">
      <c r="A99" s="238" t="s">
        <v>869</v>
      </c>
      <c r="B99" s="244"/>
      <c r="C99" s="244"/>
      <c r="D99" s="230"/>
      <c r="H99" s="298"/>
      <c r="J99" s="578"/>
      <c r="K99" s="578"/>
    </row>
    <row r="100" spans="1:11" ht="12.75">
      <c r="A100" s="246" t="s">
        <v>725</v>
      </c>
      <c r="B100" s="19">
        <f t="shared" si="0"/>
        <v>0</v>
      </c>
      <c r="C100" s="19" t="b">
        <v>0</v>
      </c>
      <c r="D100" s="124"/>
      <c r="H100" s="298"/>
      <c r="J100" s="578" t="str">
        <f>IF(B100=1," Trennsteg senkrecht "," ")</f>
        <v> </v>
      </c>
      <c r="K100" s="578"/>
    </row>
    <row r="101" spans="1:11" ht="12.75">
      <c r="A101" s="246" t="s">
        <v>870</v>
      </c>
      <c r="B101" s="19">
        <f t="shared" si="0"/>
        <v>0</v>
      </c>
      <c r="C101" s="19" t="b">
        <v>0</v>
      </c>
      <c r="D101" s="124"/>
      <c r="H101" s="298"/>
      <c r="J101" s="578" t="str">
        <f>IF(B101=1," Trennsteg senkrecht - UNMONTIERT "," ")</f>
        <v> </v>
      </c>
      <c r="K101" s="578"/>
    </row>
    <row r="102" spans="1:11" ht="12.75">
      <c r="A102" s="246" t="s">
        <v>871</v>
      </c>
      <c r="B102" s="19">
        <f t="shared" si="0"/>
        <v>0</v>
      </c>
      <c r="C102" s="19" t="b">
        <v>0</v>
      </c>
      <c r="D102" s="124"/>
      <c r="H102" s="298"/>
      <c r="J102" s="578" t="str">
        <f>IF(B102=1," Trennsteg senkrecht - RECHTS MONTIERT "," ")</f>
        <v> </v>
      </c>
      <c r="K102" s="578"/>
    </row>
    <row r="103" spans="1:11" ht="12.75">
      <c r="A103" s="246" t="s">
        <v>872</v>
      </c>
      <c r="B103" s="19">
        <f t="shared" si="0"/>
        <v>0</v>
      </c>
      <c r="C103" s="19" t="b">
        <v>0</v>
      </c>
      <c r="D103" s="124"/>
      <c r="H103" s="298"/>
      <c r="J103" s="578" t="str">
        <f>IF(B103=1," Trennsteg senkrecht - LINKS MONTIERT "," ")</f>
        <v> </v>
      </c>
      <c r="K103" s="578"/>
    </row>
    <row r="104" spans="1:11" ht="12.75">
      <c r="A104" s="246" t="s">
        <v>873</v>
      </c>
      <c r="B104" s="19"/>
      <c r="C104" s="237">
        <f>Checkliste!J67</f>
        <v>0</v>
      </c>
      <c r="D104" s="124"/>
      <c r="H104" s="298"/>
      <c r="J104" s="578" t="str">
        <f>IF(C104=1,"1 x ",IF(C104=2,"2 x ",IF(C104=3,"3 x "," ")))</f>
        <v> </v>
      </c>
      <c r="K104" s="578"/>
    </row>
    <row r="105" spans="1:11" ht="12.75">
      <c r="A105" s="246" t="s">
        <v>727</v>
      </c>
      <c r="B105" s="19">
        <f t="shared" si="0"/>
        <v>0</v>
      </c>
      <c r="C105" s="19" t="b">
        <v>0</v>
      </c>
      <c r="D105" s="124"/>
      <c r="H105" s="298"/>
      <c r="J105" s="578" t="str">
        <f>IF(B105=1," Trennsteg waagerecht "," ")</f>
        <v> </v>
      </c>
      <c r="K105" s="578"/>
    </row>
    <row r="106" spans="1:11" ht="12.75">
      <c r="A106" s="246" t="s">
        <v>874</v>
      </c>
      <c r="B106" s="19">
        <f t="shared" si="0"/>
        <v>0</v>
      </c>
      <c r="C106" s="19" t="b">
        <v>0</v>
      </c>
      <c r="D106" s="124"/>
      <c r="H106" s="298"/>
      <c r="J106" s="578" t="str">
        <f>IF(B106=1," Trennsteg waagerecht - UNMONTIERT "," ")</f>
        <v> </v>
      </c>
      <c r="K106" s="578"/>
    </row>
    <row r="107" spans="1:11" ht="12.75">
      <c r="A107" s="246" t="s">
        <v>1187</v>
      </c>
      <c r="B107" s="19">
        <f t="shared" si="0"/>
        <v>0</v>
      </c>
      <c r="C107" s="19" t="b">
        <v>0</v>
      </c>
      <c r="D107" s="124"/>
      <c r="H107" s="298"/>
      <c r="J107" s="578" t="str">
        <f>IF(B107=1," Trennsteg waagerecht - UNTEN MONTIERT "," ")</f>
        <v> </v>
      </c>
      <c r="K107" s="578"/>
    </row>
    <row r="108" spans="1:11" ht="12.75">
      <c r="A108" s="246" t="s">
        <v>1188</v>
      </c>
      <c r="B108" s="19">
        <f aca="true" t="shared" si="1" ref="B108:B156">IF(C108=TRUE,1,0)</f>
        <v>0</v>
      </c>
      <c r="C108" s="19" t="b">
        <v>0</v>
      </c>
      <c r="D108" s="124"/>
      <c r="H108" s="298"/>
      <c r="J108" s="578" t="str">
        <f>IF(B108=1," Trennsteg waagerecht - OBEN MONTIERT "," ")</f>
        <v> </v>
      </c>
      <c r="K108" s="578"/>
    </row>
    <row r="109" spans="1:11" ht="12.75">
      <c r="A109" s="246" t="s">
        <v>875</v>
      </c>
      <c r="B109" s="19"/>
      <c r="C109" s="237">
        <f>Checkliste!Z67</f>
        <v>0</v>
      </c>
      <c r="D109" s="124"/>
      <c r="H109" s="298"/>
      <c r="J109" s="578" t="str">
        <f>IF(C109=1,"1 x ",IF(C109=2,"2 x ",IF(C109=3,"3 x "," ")))</f>
        <v> </v>
      </c>
      <c r="K109" s="578"/>
    </row>
    <row r="110" spans="1:11" ht="15">
      <c r="A110" s="238" t="s">
        <v>876</v>
      </c>
      <c r="B110" s="244"/>
      <c r="C110" s="244"/>
      <c r="D110" s="230"/>
      <c r="H110" s="298"/>
      <c r="J110" s="578"/>
      <c r="K110" s="578"/>
    </row>
    <row r="111" spans="1:11" ht="12.75">
      <c r="A111" s="222" t="s">
        <v>693</v>
      </c>
      <c r="B111" s="19">
        <f t="shared" si="1"/>
        <v>0</v>
      </c>
      <c r="C111" s="19" t="b">
        <v>0</v>
      </c>
      <c r="D111" s="124"/>
      <c r="H111" s="298"/>
      <c r="J111" s="578" t="str">
        <f>IF(B111=1,"OHNE BEDIENPLATTE"," ")</f>
        <v> </v>
      </c>
      <c r="K111" s="578"/>
    </row>
    <row r="112" spans="1:11" ht="12.75">
      <c r="A112" s="247" t="s">
        <v>2</v>
      </c>
      <c r="B112" s="19"/>
      <c r="C112" s="19">
        <f>Checkliste!$AD$70</f>
        <v>0</v>
      </c>
      <c r="D112" s="124"/>
      <c r="H112" s="298"/>
      <c r="J112" s="580" t="str">
        <f>IF(C112&gt;1,"ARTIKEL-NR. "&amp;C112," ")</f>
        <v> </v>
      </c>
      <c r="K112" s="578"/>
    </row>
    <row r="113" spans="1:11" ht="12.75">
      <c r="A113" s="248" t="s">
        <v>877</v>
      </c>
      <c r="B113" s="19"/>
      <c r="C113" s="237">
        <f>Checkliste!G70</f>
        <v>0</v>
      </c>
      <c r="D113" s="124"/>
      <c r="H113" s="298"/>
      <c r="J113" s="580" t="str">
        <f>IF(C113&gt;1," BREITE = "&amp;C113," ")</f>
        <v> </v>
      </c>
      <c r="K113" s="578"/>
    </row>
    <row r="114" spans="1:11" ht="12.75">
      <c r="A114" s="248" t="s">
        <v>878</v>
      </c>
      <c r="B114" s="19"/>
      <c r="C114" s="237">
        <f>Checkliste!J70</f>
        <v>0</v>
      </c>
      <c r="D114" s="124"/>
      <c r="H114" s="298"/>
      <c r="J114" s="580" t="str">
        <f>IF(C114&gt;1," HÖHE = "&amp;C114," ")</f>
        <v> </v>
      </c>
      <c r="K114" s="578"/>
    </row>
    <row r="115" spans="1:11" ht="12.75">
      <c r="A115" s="248" t="s">
        <v>799</v>
      </c>
      <c r="B115" s="19">
        <f t="shared" si="1"/>
        <v>0</v>
      </c>
      <c r="C115" s="19" t="b">
        <v>0</v>
      </c>
      <c r="D115" s="124"/>
      <c r="H115" s="298"/>
      <c r="J115" s="578" t="str">
        <f>IF(B115=1,"UNMONTIERT"," ")</f>
        <v> </v>
      </c>
      <c r="K115" s="578"/>
    </row>
    <row r="116" spans="1:11" ht="12.75">
      <c r="A116" s="248" t="s">
        <v>800</v>
      </c>
      <c r="B116" s="19">
        <f t="shared" si="1"/>
        <v>0</v>
      </c>
      <c r="C116" s="19" t="b">
        <v>0</v>
      </c>
      <c r="D116" s="124"/>
      <c r="H116" s="298"/>
      <c r="J116" s="578" t="str">
        <f>IF(B116=1," INNEN MONTIERT "," ")</f>
        <v> </v>
      </c>
      <c r="K116" s="578"/>
    </row>
    <row r="117" spans="1:11" ht="12.75">
      <c r="A117" s="248" t="s">
        <v>879</v>
      </c>
      <c r="B117" s="19">
        <f t="shared" si="1"/>
        <v>0</v>
      </c>
      <c r="C117" s="19" t="b">
        <v>0</v>
      </c>
      <c r="D117" s="124"/>
      <c r="H117" s="298"/>
      <c r="J117" s="578" t="str">
        <f>IF(B117=1," AUSSEN MONTIERT "," ")</f>
        <v> </v>
      </c>
      <c r="K117" s="578"/>
    </row>
    <row r="118" spans="1:11" ht="12.75">
      <c r="A118" s="249" t="s">
        <v>3</v>
      </c>
      <c r="B118" s="19"/>
      <c r="C118" s="19">
        <f>Checkliste!$AD$71</f>
        <v>0</v>
      </c>
      <c r="D118" s="124"/>
      <c r="H118" s="298"/>
      <c r="J118" s="580" t="str">
        <f>IF(C118&gt;1,"ARTIKEL-NR. "&amp;C118," ")</f>
        <v> </v>
      </c>
      <c r="K118" s="578"/>
    </row>
    <row r="119" spans="1:11" ht="12.75">
      <c r="A119" s="250" t="s">
        <v>877</v>
      </c>
      <c r="B119" s="19"/>
      <c r="C119" s="237">
        <f>Checkliste!G71</f>
        <v>0</v>
      </c>
      <c r="D119" s="124"/>
      <c r="H119" s="298"/>
      <c r="J119" s="580" t="str">
        <f>IF(C119&gt;1," BREITE = "&amp;C119," ")</f>
        <v> </v>
      </c>
      <c r="K119" s="578"/>
    </row>
    <row r="120" spans="1:11" ht="12.75">
      <c r="A120" s="250" t="s">
        <v>878</v>
      </c>
      <c r="B120" s="19"/>
      <c r="C120" s="237">
        <f>Checkliste!J71</f>
        <v>0</v>
      </c>
      <c r="D120" s="124"/>
      <c r="H120" s="298"/>
      <c r="J120" s="580" t="str">
        <f>IF(C120&gt;1," HÖHE = "&amp;C120," ")</f>
        <v> </v>
      </c>
      <c r="K120" s="578"/>
    </row>
    <row r="121" spans="1:11" ht="12.75">
      <c r="A121" s="250" t="s">
        <v>799</v>
      </c>
      <c r="B121" s="19">
        <f t="shared" si="1"/>
        <v>0</v>
      </c>
      <c r="C121" s="19" t="b">
        <v>0</v>
      </c>
      <c r="D121" s="124"/>
      <c r="H121" s="298"/>
      <c r="J121" s="578" t="str">
        <f>IF(B121=1,"UNMONTIERT"," ")</f>
        <v> </v>
      </c>
      <c r="K121" s="578"/>
    </row>
    <row r="122" spans="1:11" ht="12.75">
      <c r="A122" s="250" t="s">
        <v>800</v>
      </c>
      <c r="B122" s="19">
        <f t="shared" si="1"/>
        <v>0</v>
      </c>
      <c r="C122" s="19" t="b">
        <v>0</v>
      </c>
      <c r="D122" s="124"/>
      <c r="H122" s="298"/>
      <c r="J122" s="578" t="str">
        <f>IF(B122=1," INNEN MONTIERT "," ")</f>
        <v> </v>
      </c>
      <c r="K122" s="578"/>
    </row>
    <row r="123" spans="1:11" ht="12.75">
      <c r="A123" s="250" t="s">
        <v>879</v>
      </c>
      <c r="B123" s="19">
        <f t="shared" si="1"/>
        <v>0</v>
      </c>
      <c r="C123" s="19" t="b">
        <v>0</v>
      </c>
      <c r="D123" s="124"/>
      <c r="H123" s="298"/>
      <c r="J123" s="578" t="str">
        <f>IF(B123=1," AUSSEN MONTIERT "," ")</f>
        <v> </v>
      </c>
      <c r="K123" s="578"/>
    </row>
    <row r="124" spans="1:11" ht="15">
      <c r="A124" s="238" t="s">
        <v>880</v>
      </c>
      <c r="B124" s="244"/>
      <c r="C124" s="244"/>
      <c r="D124" s="230"/>
      <c r="H124" s="298"/>
      <c r="J124" s="578"/>
      <c r="K124" s="578"/>
    </row>
    <row r="125" spans="1:11" ht="12.75">
      <c r="A125" s="245" t="s">
        <v>884</v>
      </c>
      <c r="B125" s="19">
        <f t="shared" si="1"/>
        <v>0</v>
      </c>
      <c r="C125" s="19" t="b">
        <v>0</v>
      </c>
      <c r="D125" s="124"/>
      <c r="H125" s="298"/>
      <c r="J125" s="578" t="str">
        <f>IF(B125=1," Standardbearbeitung (Flansch 50/60/SL) "," ")</f>
        <v> </v>
      </c>
      <c r="K125" s="578"/>
    </row>
    <row r="126" spans="1:11" ht="12.75">
      <c r="A126" s="245" t="s">
        <v>885</v>
      </c>
      <c r="B126" s="19">
        <f t="shared" si="1"/>
        <v>0</v>
      </c>
      <c r="C126" s="19" t="b">
        <v>0</v>
      </c>
      <c r="D126" s="124"/>
      <c r="H126" s="298"/>
      <c r="J126" s="578" t="str">
        <f>IF(B126=1," Drehneigungskupplung "," ")</f>
        <v> </v>
      </c>
      <c r="K126" s="578"/>
    </row>
    <row r="127" spans="1:11" ht="12.75">
      <c r="A127" s="245" t="s">
        <v>784</v>
      </c>
      <c r="B127" s="19">
        <f t="shared" si="1"/>
        <v>0</v>
      </c>
      <c r="C127" s="19" t="b">
        <v>0</v>
      </c>
      <c r="D127" s="124"/>
      <c r="H127" s="298"/>
      <c r="J127" s="578" t="str">
        <f>IF(B127=1," Neigungsadapter (nur Profil 200) "," ")</f>
        <v> </v>
      </c>
      <c r="K127" s="578"/>
    </row>
    <row r="128" spans="1:11" ht="12.75">
      <c r="A128" s="245" t="s">
        <v>886</v>
      </c>
      <c r="B128" s="19">
        <f t="shared" si="1"/>
        <v>0</v>
      </c>
      <c r="C128" s="19" t="b">
        <v>0</v>
      </c>
      <c r="D128" s="124"/>
      <c r="H128" s="298"/>
      <c r="J128" s="578" t="str">
        <f>IF(B128=1," Flanschkupplung 80 (nur Profil 200) "," ")</f>
        <v> </v>
      </c>
      <c r="K128" s="578"/>
    </row>
    <row r="129" spans="1:11" ht="12.75">
      <c r="A129" s="245" t="s">
        <v>782</v>
      </c>
      <c r="B129" s="19">
        <f t="shared" si="1"/>
        <v>0</v>
      </c>
      <c r="C129" s="19" t="b">
        <f>IF(OR(B28&gt;0,B29&gt;0),TRUE,FALSE)</f>
        <v>0</v>
      </c>
      <c r="D129" s="124"/>
      <c r="H129" s="298"/>
      <c r="J129" s="578" t="str">
        <f>IF(B129=1," Pultverbinder "," ")</f>
        <v> </v>
      </c>
      <c r="K129" s="578"/>
    </row>
    <row r="130" spans="1:11" ht="12.75">
      <c r="A130" s="245" t="s">
        <v>888</v>
      </c>
      <c r="B130" s="19">
        <f t="shared" si="1"/>
        <v>0</v>
      </c>
      <c r="C130" s="19" t="b">
        <v>0</v>
      </c>
      <c r="D130" s="124"/>
      <c r="H130" s="298"/>
      <c r="J130" s="578" t="str">
        <f>IF(B130=1,"OHNE TRAGSYSTEM"," ")</f>
        <v> </v>
      </c>
      <c r="K130" s="578"/>
    </row>
    <row r="131" spans="1:11" ht="12.75">
      <c r="A131" s="245" t="s">
        <v>887</v>
      </c>
      <c r="B131" s="19">
        <f t="shared" si="1"/>
        <v>0</v>
      </c>
      <c r="C131" s="19" t="b">
        <v>0</v>
      </c>
      <c r="D131" s="124"/>
      <c r="H131" s="298"/>
      <c r="J131" s="578" t="str">
        <f>IF(B131=1," SONDERBEARBEITUNG nach KUNDENWUNSCH "," ")</f>
        <v> </v>
      </c>
      <c r="K131" s="578"/>
    </row>
    <row r="132" spans="1:11" ht="12.75">
      <c r="A132" s="245" t="s">
        <v>889</v>
      </c>
      <c r="B132" s="19">
        <f t="shared" si="1"/>
        <v>0</v>
      </c>
      <c r="C132" s="19" t="b">
        <v>0</v>
      </c>
      <c r="D132" s="124"/>
      <c r="H132" s="298"/>
      <c r="J132" s="578" t="str">
        <f>IF(B132=1," Seite OBEN "," ")</f>
        <v> </v>
      </c>
      <c r="K132" s="578"/>
    </row>
    <row r="133" spans="1:11" ht="12.75">
      <c r="A133" s="245" t="s">
        <v>890</v>
      </c>
      <c r="B133" s="19">
        <f t="shared" si="1"/>
        <v>0</v>
      </c>
      <c r="C133" s="19" t="b">
        <v>0</v>
      </c>
      <c r="D133" s="124"/>
      <c r="H133" s="298"/>
      <c r="J133" s="578" t="str">
        <f>IF(B133=1," Seite UNTEN "," ")</f>
        <v> </v>
      </c>
      <c r="K133" s="578"/>
    </row>
    <row r="134" spans="1:11" ht="15">
      <c r="A134" s="251" t="s">
        <v>891</v>
      </c>
      <c r="B134" s="244"/>
      <c r="C134" s="244"/>
      <c r="D134" s="230"/>
      <c r="H134" s="298"/>
      <c r="J134" s="578"/>
      <c r="K134" s="578"/>
    </row>
    <row r="135" spans="1:11" ht="12.75">
      <c r="A135" s="252" t="s">
        <v>893</v>
      </c>
      <c r="B135" s="19">
        <f t="shared" si="1"/>
        <v>0</v>
      </c>
      <c r="C135" s="19" t="b">
        <v>0</v>
      </c>
      <c r="D135" s="124"/>
      <c r="H135" s="298"/>
      <c r="J135" s="578" t="str">
        <f>IF(B135=1,"Grundkörper natur eloxiert "," ")</f>
        <v> </v>
      </c>
      <c r="K135" s="578"/>
    </row>
    <row r="136" spans="1:11" ht="12.75">
      <c r="A136" s="252" t="s">
        <v>894</v>
      </c>
      <c r="B136" s="19">
        <f t="shared" si="1"/>
        <v>0</v>
      </c>
      <c r="C136" s="19" t="b">
        <v>0</v>
      </c>
      <c r="D136" s="124"/>
      <c r="H136" s="298"/>
      <c r="J136" s="578" t="str">
        <f>IF(B136=1,"Grundkörper Kundenausführung "," ")</f>
        <v> </v>
      </c>
      <c r="K136" s="578"/>
    </row>
    <row r="137" spans="1:11" ht="12.75">
      <c r="A137" s="252" t="s">
        <v>902</v>
      </c>
      <c r="B137" s="19"/>
      <c r="C137" s="237">
        <f>Checkliste!X80</f>
        <v>0</v>
      </c>
      <c r="D137" s="124"/>
      <c r="H137" s="298"/>
      <c r="J137" s="578" t="str">
        <f>IF(B136=1,C137," ")</f>
        <v> </v>
      </c>
      <c r="K137" s="578"/>
    </row>
    <row r="138" spans="1:11" ht="12.75">
      <c r="A138" s="253" t="s">
        <v>892</v>
      </c>
      <c r="B138" s="19">
        <f t="shared" si="1"/>
        <v>0</v>
      </c>
      <c r="C138" s="19" t="b">
        <v>0</v>
      </c>
      <c r="D138" s="124"/>
      <c r="H138" s="298"/>
      <c r="J138" s="578" t="str">
        <f>IF(B138=1,"Tür natur eloxiert "," ")</f>
        <v> </v>
      </c>
      <c r="K138" s="578"/>
    </row>
    <row r="139" spans="1:11" ht="12.75">
      <c r="A139" s="253" t="s">
        <v>897</v>
      </c>
      <c r="B139" s="19">
        <f t="shared" si="1"/>
        <v>0</v>
      </c>
      <c r="C139" s="19" t="b">
        <v>0</v>
      </c>
      <c r="D139" s="124"/>
      <c r="H139" s="298"/>
      <c r="J139" s="578" t="str">
        <f>IF(B139=1,"Tür Kundenausführung "," ")</f>
        <v> </v>
      </c>
      <c r="K139" s="578"/>
    </row>
    <row r="140" spans="1:11" ht="12.75">
      <c r="A140" s="253" t="s">
        <v>902</v>
      </c>
      <c r="B140" s="19"/>
      <c r="C140" s="237">
        <f>Checkliste!X81</f>
        <v>0</v>
      </c>
      <c r="D140" s="124"/>
      <c r="H140" s="298"/>
      <c r="J140" s="578" t="str">
        <f>IF(B139=1,C140," ")</f>
        <v> </v>
      </c>
      <c r="K140" s="578"/>
    </row>
    <row r="141" spans="1:11" ht="12.75">
      <c r="A141" s="254" t="s">
        <v>896</v>
      </c>
      <c r="B141" s="19">
        <f t="shared" si="1"/>
        <v>0</v>
      </c>
      <c r="C141" s="19" t="b">
        <v>0</v>
      </c>
      <c r="D141" s="124"/>
      <c r="H141" s="298"/>
      <c r="J141" s="578" t="str">
        <f>IF(B141=1," Eckmodule / Abschlußkappen RAL 7016 pulverbeschichtet (Standard) "," ")</f>
        <v> </v>
      </c>
      <c r="K141" s="578"/>
    </row>
    <row r="142" spans="1:11" ht="12.75">
      <c r="A142" s="254" t="s">
        <v>898</v>
      </c>
      <c r="B142" s="19">
        <f t="shared" si="1"/>
        <v>0</v>
      </c>
      <c r="C142" s="19" t="b">
        <v>0</v>
      </c>
      <c r="D142" s="124"/>
      <c r="H142" s="298"/>
      <c r="J142" s="578" t="str">
        <f>IF(B142=1," Eckmodule / Abschlußkappen Kundenausführung "," ")</f>
        <v> </v>
      </c>
      <c r="K142" s="578"/>
    </row>
    <row r="143" spans="1:11" ht="12.75">
      <c r="A143" s="254" t="s">
        <v>902</v>
      </c>
      <c r="B143" s="19"/>
      <c r="C143" s="237">
        <f>Checkliste!X82</f>
        <v>0</v>
      </c>
      <c r="D143" s="124"/>
      <c r="H143" s="298"/>
      <c r="J143" s="578" t="str">
        <f>IF(B142=1,C143," ")</f>
        <v> </v>
      </c>
      <c r="K143" s="578"/>
    </row>
    <row r="144" spans="1:11" ht="12.75">
      <c r="A144" s="255" t="s">
        <v>899</v>
      </c>
      <c r="B144" s="19">
        <f t="shared" si="1"/>
        <v>0</v>
      </c>
      <c r="C144" s="19" t="b">
        <v>0</v>
      </c>
      <c r="D144" s="124"/>
      <c r="H144" s="298"/>
      <c r="J144" s="578" t="str">
        <f>IF(B144=1," Trennsteg natur eloxiert "," ")</f>
        <v> </v>
      </c>
      <c r="K144" s="578"/>
    </row>
    <row r="145" spans="1:11" ht="12.75">
      <c r="A145" s="255" t="s">
        <v>900</v>
      </c>
      <c r="B145" s="19">
        <f t="shared" si="1"/>
        <v>0</v>
      </c>
      <c r="C145" s="19" t="b">
        <v>0</v>
      </c>
      <c r="D145" s="124"/>
      <c r="H145" s="298"/>
      <c r="J145" s="578" t="str">
        <f>IF(B145=1," Trennsteg Kundenausführung "," ")</f>
        <v> </v>
      </c>
      <c r="K145" s="578"/>
    </row>
    <row r="146" spans="1:11" ht="12.75">
      <c r="A146" s="255" t="s">
        <v>902</v>
      </c>
      <c r="B146" s="19"/>
      <c r="C146" s="237">
        <f>Checkliste!X83</f>
        <v>0</v>
      </c>
      <c r="D146" s="124"/>
      <c r="H146" s="298"/>
      <c r="J146" s="578" t="str">
        <f>IF(B145=1,C146," ")</f>
        <v> </v>
      </c>
      <c r="K146" s="578"/>
    </row>
    <row r="147" spans="1:11" ht="12.75">
      <c r="A147" s="256" t="s">
        <v>895</v>
      </c>
      <c r="B147" s="19">
        <f t="shared" si="1"/>
        <v>0</v>
      </c>
      <c r="C147" s="19" t="b">
        <v>0</v>
      </c>
      <c r="D147" s="124"/>
      <c r="H147" s="298"/>
      <c r="J147" s="578" t="str">
        <f>IF(B147=1,"Frontplatte natur eloxiert "," ")</f>
        <v> </v>
      </c>
      <c r="K147" s="578"/>
    </row>
    <row r="148" spans="1:11" ht="12.75">
      <c r="A148" s="256"/>
      <c r="B148" s="19">
        <f t="shared" si="1"/>
        <v>0</v>
      </c>
      <c r="C148" s="19"/>
      <c r="D148" s="124"/>
      <c r="H148" s="298"/>
      <c r="J148" s="578"/>
      <c r="K148" s="578"/>
    </row>
    <row r="149" spans="1:11" ht="12.75">
      <c r="A149" s="256" t="s">
        <v>1026</v>
      </c>
      <c r="B149" s="19"/>
      <c r="C149" s="237">
        <f>Checkliste!X84</f>
        <v>0</v>
      </c>
      <c r="D149" s="124"/>
      <c r="H149" s="298"/>
      <c r="J149" s="580" t="str">
        <f>IF(C149&gt;1,"ARTIKEL-NR. "&amp;C149&amp;" "," ")</f>
        <v> </v>
      </c>
      <c r="K149" s="578"/>
    </row>
    <row r="150" spans="1:11" ht="12.75">
      <c r="A150" s="241" t="s">
        <v>901</v>
      </c>
      <c r="B150" s="19">
        <f t="shared" si="1"/>
        <v>0</v>
      </c>
      <c r="C150" s="19" t="b">
        <v>0</v>
      </c>
      <c r="D150" s="124"/>
      <c r="H150" s="298"/>
      <c r="J150" s="578" t="str">
        <f>IF(B150=1,"Rückwand natur eloxiert "," ")</f>
        <v> </v>
      </c>
      <c r="K150" s="578"/>
    </row>
    <row r="151" spans="1:11" ht="12.75">
      <c r="A151" s="241"/>
      <c r="B151" s="19">
        <f t="shared" si="1"/>
        <v>0</v>
      </c>
      <c r="C151" s="19"/>
      <c r="D151" s="124"/>
      <c r="H151" s="298"/>
      <c r="J151" s="578"/>
      <c r="K151" s="578"/>
    </row>
    <row r="152" spans="1:11" ht="12.75">
      <c r="A152" s="241" t="s">
        <v>1025</v>
      </c>
      <c r="B152" s="19"/>
      <c r="C152" s="237">
        <f>Checkliste!X85</f>
        <v>0</v>
      </c>
      <c r="D152" s="124"/>
      <c r="H152" s="298"/>
      <c r="J152" s="580" t="str">
        <f>IF(C152&gt;1,"ARTIKEL-NR. "&amp;C152&amp;" "," ")</f>
        <v> </v>
      </c>
      <c r="K152" s="578"/>
    </row>
    <row r="153" spans="1:11" ht="15">
      <c r="A153" s="251" t="s">
        <v>903</v>
      </c>
      <c r="B153" s="244"/>
      <c r="C153" s="244"/>
      <c r="D153" s="230"/>
      <c r="H153" s="298"/>
      <c r="J153" s="578"/>
      <c r="K153" s="578"/>
    </row>
    <row r="154" spans="1:11" ht="98.25" customHeight="1">
      <c r="A154" s="257" t="s">
        <v>902</v>
      </c>
      <c r="B154" s="19"/>
      <c r="C154" s="258">
        <f>Checkliste!C87</f>
        <v>0</v>
      </c>
      <c r="D154" s="124"/>
      <c r="H154" s="298"/>
      <c r="J154" s="578"/>
      <c r="K154" s="578"/>
    </row>
    <row r="155" spans="1:11" ht="12.75">
      <c r="A155" s="241" t="s">
        <v>751</v>
      </c>
      <c r="B155" s="19">
        <f t="shared" si="1"/>
        <v>0</v>
      </c>
      <c r="C155" s="19" t="b">
        <v>0</v>
      </c>
      <c r="D155" s="124"/>
      <c r="H155" s="298"/>
      <c r="J155" s="578"/>
      <c r="K155" s="578"/>
    </row>
    <row r="156" spans="1:11" ht="12.75">
      <c r="A156" s="241" t="s">
        <v>752</v>
      </c>
      <c r="B156" s="19">
        <f t="shared" si="1"/>
        <v>0</v>
      </c>
      <c r="C156" s="19" t="b">
        <v>0</v>
      </c>
      <c r="D156" s="124"/>
      <c r="H156" s="298"/>
      <c r="J156" s="578"/>
      <c r="K156" s="578"/>
    </row>
    <row r="157" spans="1:11" ht="12.75">
      <c r="A157" s="241" t="s">
        <v>905</v>
      </c>
      <c r="B157" s="19"/>
      <c r="C157" s="237">
        <f>Checkliste!M90</f>
        <v>0</v>
      </c>
      <c r="D157" s="124"/>
      <c r="H157" s="298"/>
      <c r="J157" s="578"/>
      <c r="K157" s="578"/>
    </row>
    <row r="158" spans="1:11" ht="12.75">
      <c r="A158" s="241" t="s">
        <v>904</v>
      </c>
      <c r="B158" s="19"/>
      <c r="C158" s="237">
        <f>Checkliste!I91</f>
        <v>0</v>
      </c>
      <c r="D158" s="124"/>
      <c r="H158" s="298"/>
      <c r="J158" s="578"/>
      <c r="K158" s="578"/>
    </row>
    <row r="159" spans="1:11" ht="12.75">
      <c r="A159" s="241" t="s">
        <v>907</v>
      </c>
      <c r="B159" s="19"/>
      <c r="C159" s="237">
        <f>Checkliste!T90</f>
        <v>0</v>
      </c>
      <c r="D159" s="124"/>
      <c r="H159" s="298"/>
      <c r="J159" s="578"/>
      <c r="K159" s="578"/>
    </row>
    <row r="160" spans="1:11" ht="12.75">
      <c r="A160" s="241" t="s">
        <v>906</v>
      </c>
      <c r="B160" s="19"/>
      <c r="C160" s="237">
        <f>Checkliste!P91</f>
        <v>0</v>
      </c>
      <c r="D160" s="124"/>
      <c r="H160" s="298"/>
      <c r="J160" s="578"/>
      <c r="K160" s="578"/>
    </row>
    <row r="161" spans="1:11" ht="12.75">
      <c r="A161" s="241" t="s">
        <v>908</v>
      </c>
      <c r="B161" s="19"/>
      <c r="C161" s="237" t="str">
        <f>Checkliste!AA90</f>
        <v> </v>
      </c>
      <c r="D161" s="124"/>
      <c r="H161" s="298"/>
      <c r="J161" s="578"/>
      <c r="K161" s="578"/>
    </row>
    <row r="162" spans="1:11" ht="13.5" thickBot="1">
      <c r="A162" s="259" t="s">
        <v>909</v>
      </c>
      <c r="B162" s="260"/>
      <c r="C162" s="261">
        <f>Checkliste!W91</f>
        <v>0</v>
      </c>
      <c r="D162" s="129"/>
      <c r="H162" s="298"/>
      <c r="J162" s="578"/>
      <c r="K162" s="578"/>
    </row>
  </sheetData>
  <conditionalFormatting sqref="K64:K65 K58:K61 J2:J65 J66:K67 J68:J162">
    <cfRule type="cellIs" priority="1" dxfId="2" operator="equal" stopIfTrue="1">
      <formula>" "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S234"/>
  <sheetViews>
    <sheetView workbookViewId="0" topLeftCell="A1">
      <selection activeCell="E4" sqref="E4:M4"/>
    </sheetView>
  </sheetViews>
  <sheetFormatPr defaultColWidth="11.421875" defaultRowHeight="12.75"/>
  <cols>
    <col min="1" max="1" width="16.7109375" style="0" bestFit="1" customWidth="1"/>
    <col min="2" max="2" width="24.8515625" style="0" customWidth="1"/>
    <col min="3" max="3" width="6.8515625" style="0" customWidth="1"/>
    <col min="4" max="4" width="5.57421875" style="0" customWidth="1"/>
    <col min="5" max="5" width="29.7109375" style="0" customWidth="1"/>
    <col min="6" max="9" width="3.7109375" style="0" customWidth="1"/>
    <col min="10" max="10" width="10.7109375" style="0" customWidth="1"/>
    <col min="11" max="11" width="15.7109375" style="133" customWidth="1"/>
  </cols>
  <sheetData>
    <row r="1" spans="1:19" ht="74.25" customHeight="1">
      <c r="A1" s="35" t="s">
        <v>910</v>
      </c>
      <c r="B1" s="35" t="s">
        <v>911</v>
      </c>
      <c r="C1" s="36" t="s">
        <v>912</v>
      </c>
      <c r="D1" s="36" t="s">
        <v>914</v>
      </c>
      <c r="E1" s="35" t="s">
        <v>913</v>
      </c>
      <c r="F1" s="35"/>
      <c r="G1" s="35"/>
      <c r="H1" s="35"/>
      <c r="I1" s="35"/>
      <c r="J1" s="35"/>
      <c r="K1" s="591" t="s">
        <v>624</v>
      </c>
      <c r="L1" s="589" t="s">
        <v>623</v>
      </c>
      <c r="M1" s="590" t="s">
        <v>622</v>
      </c>
      <c r="N1" s="576"/>
      <c r="O1" s="576"/>
      <c r="P1" s="267"/>
      <c r="Q1" s="267"/>
      <c r="R1" s="267"/>
      <c r="S1" s="267"/>
    </row>
    <row r="2" spans="1:19" ht="12.75">
      <c r="A2" s="38">
        <v>9186001700</v>
      </c>
      <c r="B2" s="25" t="s">
        <v>600</v>
      </c>
      <c r="C2" t="s">
        <v>686</v>
      </c>
      <c r="D2" t="s">
        <v>1064</v>
      </c>
      <c r="E2" s="25" t="s">
        <v>601</v>
      </c>
      <c r="F2" s="25"/>
      <c r="G2" s="25"/>
      <c r="H2" s="25"/>
      <c r="I2" s="25"/>
      <c r="J2" s="25"/>
      <c r="K2" s="586"/>
      <c r="L2" s="582"/>
      <c r="M2" s="588"/>
      <c r="N2" s="43"/>
      <c r="O2" s="43"/>
      <c r="P2" s="43"/>
      <c r="Q2" s="43"/>
      <c r="R2" s="43"/>
      <c r="S2" s="43"/>
    </row>
    <row r="3" spans="1:19" ht="12.75">
      <c r="A3" s="38">
        <v>9186001706</v>
      </c>
      <c r="B3" s="25" t="s">
        <v>602</v>
      </c>
      <c r="C3" t="s">
        <v>686</v>
      </c>
      <c r="D3" t="s">
        <v>1065</v>
      </c>
      <c r="E3" s="25" t="s">
        <v>603</v>
      </c>
      <c r="F3" s="25"/>
      <c r="G3" s="25"/>
      <c r="H3" s="25"/>
      <c r="I3" s="25"/>
      <c r="J3" s="25"/>
      <c r="K3" s="586"/>
      <c r="L3" s="582"/>
      <c r="M3" s="588"/>
      <c r="N3" s="43"/>
      <c r="O3" s="43"/>
      <c r="P3" s="43"/>
      <c r="Q3" s="43"/>
      <c r="R3" s="43"/>
      <c r="S3" s="43"/>
    </row>
    <row r="4" spans="1:19" ht="12.75">
      <c r="A4" s="38">
        <v>9186001714</v>
      </c>
      <c r="B4" s="25" t="s">
        <v>604</v>
      </c>
      <c r="C4" t="s">
        <v>686</v>
      </c>
      <c r="D4" t="s">
        <v>1066</v>
      </c>
      <c r="E4" s="25" t="s">
        <v>605</v>
      </c>
      <c r="F4" s="25"/>
      <c r="G4" s="25"/>
      <c r="H4" s="25"/>
      <c r="I4" s="25"/>
      <c r="J4" s="25"/>
      <c r="K4" s="586"/>
      <c r="L4" s="582"/>
      <c r="M4" s="588"/>
      <c r="N4" s="43"/>
      <c r="O4" s="43"/>
      <c r="P4" s="43"/>
      <c r="Q4" s="43"/>
      <c r="R4" s="43"/>
      <c r="S4" s="43"/>
    </row>
    <row r="5" spans="1:19" ht="12.75">
      <c r="A5" s="38">
        <v>9186001715</v>
      </c>
      <c r="B5" s="25" t="s">
        <v>606</v>
      </c>
      <c r="C5" t="s">
        <v>686</v>
      </c>
      <c r="D5" t="s">
        <v>1067</v>
      </c>
      <c r="E5" s="25" t="s">
        <v>915</v>
      </c>
      <c r="F5" s="25"/>
      <c r="G5" s="25"/>
      <c r="H5" s="25"/>
      <c r="I5" s="25"/>
      <c r="J5" s="25"/>
      <c r="K5" s="586"/>
      <c r="L5" s="582"/>
      <c r="M5" s="588"/>
      <c r="N5" s="43"/>
      <c r="O5" s="43"/>
      <c r="P5" s="43"/>
      <c r="Q5" s="43"/>
      <c r="R5" s="43"/>
      <c r="S5" s="43"/>
    </row>
    <row r="6" spans="1:19" ht="12.75">
      <c r="A6" s="38">
        <v>9186001710</v>
      </c>
      <c r="B6" s="25" t="s">
        <v>607</v>
      </c>
      <c r="C6" t="s">
        <v>686</v>
      </c>
      <c r="D6" t="s">
        <v>1068</v>
      </c>
      <c r="E6" s="25" t="s">
        <v>916</v>
      </c>
      <c r="F6" s="25"/>
      <c r="G6" s="25"/>
      <c r="H6" s="25"/>
      <c r="I6" s="25"/>
      <c r="J6" s="25"/>
      <c r="K6" s="586"/>
      <c r="L6" s="582"/>
      <c r="M6" s="588"/>
      <c r="N6" s="43"/>
      <c r="O6" s="43"/>
      <c r="P6" s="43"/>
      <c r="Q6" s="43"/>
      <c r="R6" s="43"/>
      <c r="S6" s="43"/>
    </row>
    <row r="7" spans="1:19" ht="12.75">
      <c r="A7" s="38">
        <v>9186001905</v>
      </c>
      <c r="B7" s="25" t="s">
        <v>608</v>
      </c>
      <c r="C7" t="s">
        <v>686</v>
      </c>
      <c r="D7" t="s">
        <v>1069</v>
      </c>
      <c r="E7" s="25" t="s">
        <v>920</v>
      </c>
      <c r="F7" s="25"/>
      <c r="G7" s="25"/>
      <c r="H7" s="25"/>
      <c r="I7" s="25"/>
      <c r="J7" s="25"/>
      <c r="K7" s="586"/>
      <c r="L7" s="582"/>
      <c r="M7" s="588"/>
      <c r="N7" s="43"/>
      <c r="O7" s="43"/>
      <c r="P7" s="43"/>
      <c r="Q7" s="43"/>
      <c r="R7" s="43"/>
      <c r="S7" s="43"/>
    </row>
    <row r="8" spans="1:19" ht="12.75">
      <c r="A8" s="38">
        <v>9186001912</v>
      </c>
      <c r="B8" s="25" t="s">
        <v>609</v>
      </c>
      <c r="C8" t="s">
        <v>686</v>
      </c>
      <c r="D8" t="s">
        <v>1070</v>
      </c>
      <c r="E8" s="25" t="s">
        <v>917</v>
      </c>
      <c r="F8" s="25"/>
      <c r="G8" s="25"/>
      <c r="H8" s="25"/>
      <c r="I8" s="25"/>
      <c r="J8" s="25"/>
      <c r="K8" s="586"/>
      <c r="L8" s="582"/>
      <c r="M8" s="588"/>
      <c r="N8" s="43"/>
      <c r="O8" s="43"/>
      <c r="P8" s="43"/>
      <c r="Q8" s="43"/>
      <c r="R8" s="43"/>
      <c r="S8" s="43"/>
    </row>
    <row r="9" spans="1:19" ht="12.75">
      <c r="A9" s="38">
        <v>9186001900</v>
      </c>
      <c r="B9" s="25" t="s">
        <v>610</v>
      </c>
      <c r="C9" t="s">
        <v>686</v>
      </c>
      <c r="D9" t="s">
        <v>1071</v>
      </c>
      <c r="E9" s="25" t="s">
        <v>918</v>
      </c>
      <c r="F9" s="25"/>
      <c r="G9" s="25"/>
      <c r="H9" s="25"/>
      <c r="I9" s="25"/>
      <c r="J9" s="25"/>
      <c r="K9" s="586"/>
      <c r="L9" s="582"/>
      <c r="M9" s="588"/>
      <c r="N9" s="43"/>
      <c r="O9" s="43"/>
      <c r="P9" s="43"/>
      <c r="Q9" s="43"/>
      <c r="R9" s="43"/>
      <c r="S9" s="43"/>
    </row>
    <row r="10" spans="1:19" ht="12.75">
      <c r="A10" s="38">
        <v>9186001909</v>
      </c>
      <c r="B10" s="25" t="s">
        <v>611</v>
      </c>
      <c r="C10" t="s">
        <v>686</v>
      </c>
      <c r="D10" t="s">
        <v>1072</v>
      </c>
      <c r="E10" s="25" t="s">
        <v>919</v>
      </c>
      <c r="F10" s="25"/>
      <c r="G10" s="25"/>
      <c r="H10" s="25"/>
      <c r="I10" s="25"/>
      <c r="J10" s="25"/>
      <c r="K10" s="586"/>
      <c r="L10" s="582"/>
      <c r="M10" s="588"/>
      <c r="N10" s="43"/>
      <c r="O10" s="43"/>
      <c r="P10" s="43"/>
      <c r="Q10" s="43"/>
      <c r="R10" s="43"/>
      <c r="S10" s="43"/>
    </row>
    <row r="11" spans="1:19" ht="12.75">
      <c r="A11" s="38"/>
      <c r="B11" s="25" t="s">
        <v>612</v>
      </c>
      <c r="C11" t="s">
        <v>686</v>
      </c>
      <c r="D11" t="s">
        <v>1073</v>
      </c>
      <c r="E11" s="25"/>
      <c r="F11" s="25"/>
      <c r="G11" s="25"/>
      <c r="H11" s="25"/>
      <c r="I11" s="25"/>
      <c r="J11" s="25"/>
      <c r="K11" s="586"/>
      <c r="L11" s="587"/>
      <c r="M11" s="572"/>
      <c r="N11" s="43"/>
      <c r="O11" s="43"/>
      <c r="P11" s="43"/>
      <c r="Q11" s="43"/>
      <c r="R11" s="43"/>
      <c r="S11" s="43"/>
    </row>
    <row r="12" spans="1:19" ht="12.75">
      <c r="A12" s="37"/>
      <c r="B12" s="25"/>
      <c r="C12" t="s">
        <v>686</v>
      </c>
      <c r="D12" t="s">
        <v>1074</v>
      </c>
      <c r="E12" s="25"/>
      <c r="F12" s="25"/>
      <c r="G12" s="25"/>
      <c r="H12" s="25"/>
      <c r="I12" s="25"/>
      <c r="J12" s="25"/>
      <c r="K12" s="586"/>
      <c r="L12" s="587"/>
      <c r="M12" s="572"/>
      <c r="N12" s="43"/>
      <c r="O12" s="43"/>
      <c r="P12" s="43"/>
      <c r="Q12" s="43"/>
      <c r="R12" s="43"/>
      <c r="S12" s="43"/>
    </row>
    <row r="13" spans="1:19" ht="12.75">
      <c r="A13" s="38"/>
      <c r="B13" s="25"/>
      <c r="C13" t="s">
        <v>686</v>
      </c>
      <c r="D13" t="s">
        <v>1075</v>
      </c>
      <c r="E13" s="25"/>
      <c r="F13" s="25"/>
      <c r="G13" s="25"/>
      <c r="H13" s="25"/>
      <c r="I13" s="25"/>
      <c r="J13" s="25"/>
      <c r="K13" s="586"/>
      <c r="L13" s="587"/>
      <c r="M13" s="572"/>
      <c r="N13" s="43"/>
      <c r="O13" s="43"/>
      <c r="P13" s="43"/>
      <c r="Q13" s="43"/>
      <c r="R13" s="43"/>
      <c r="S13" s="43"/>
    </row>
    <row r="14" spans="3:19" ht="12.75">
      <c r="C14" t="s">
        <v>686</v>
      </c>
      <c r="D14" t="s">
        <v>1076</v>
      </c>
      <c r="F14" s="25"/>
      <c r="G14" s="25"/>
      <c r="H14" s="25"/>
      <c r="I14" s="25"/>
      <c r="J14" s="25"/>
      <c r="K14" s="586"/>
      <c r="L14" s="587"/>
      <c r="M14" s="572"/>
      <c r="N14" s="43"/>
      <c r="O14" s="43"/>
      <c r="P14" s="43"/>
      <c r="Q14" s="43"/>
      <c r="R14" s="43"/>
      <c r="S14" s="43"/>
    </row>
    <row r="15" spans="3:19" ht="12.75">
      <c r="C15" t="s">
        <v>686</v>
      </c>
      <c r="D15" t="s">
        <v>1077</v>
      </c>
      <c r="F15" s="25"/>
      <c r="G15" s="25"/>
      <c r="H15" s="25"/>
      <c r="I15" s="25"/>
      <c r="J15" s="25"/>
      <c r="K15" s="586"/>
      <c r="L15" s="587"/>
      <c r="M15" s="572"/>
      <c r="N15" s="43"/>
      <c r="O15" s="43"/>
      <c r="P15" s="43"/>
      <c r="Q15" s="43"/>
      <c r="R15" s="43"/>
      <c r="S15" s="43"/>
    </row>
    <row r="16" spans="3:19" ht="12.75">
      <c r="C16" t="s">
        <v>686</v>
      </c>
      <c r="D16" t="s">
        <v>1078</v>
      </c>
      <c r="F16" s="25"/>
      <c r="G16" s="25"/>
      <c r="H16" s="25"/>
      <c r="I16" s="25"/>
      <c r="J16" s="25"/>
      <c r="K16" s="586"/>
      <c r="L16" s="587"/>
      <c r="M16" s="572"/>
      <c r="N16" s="43"/>
      <c r="O16" s="43"/>
      <c r="P16" s="43"/>
      <c r="Q16" s="43"/>
      <c r="R16" s="43"/>
      <c r="S16" s="43"/>
    </row>
    <row r="17" spans="3:19" ht="12.75">
      <c r="C17" t="s">
        <v>686</v>
      </c>
      <c r="D17" t="s">
        <v>1079</v>
      </c>
      <c r="F17" s="25"/>
      <c r="G17" s="25"/>
      <c r="H17" s="25"/>
      <c r="I17" s="25"/>
      <c r="J17" s="25"/>
      <c r="K17" s="586"/>
      <c r="L17" s="587"/>
      <c r="M17" s="572"/>
      <c r="N17" s="43"/>
      <c r="O17" s="43"/>
      <c r="P17" s="43"/>
      <c r="Q17" s="43"/>
      <c r="R17" s="43"/>
      <c r="S17" s="43"/>
    </row>
    <row r="18" spans="3:19" ht="12.75">
      <c r="C18" t="s">
        <v>686</v>
      </c>
      <c r="D18" t="s">
        <v>1080</v>
      </c>
      <c r="F18" s="25"/>
      <c r="G18" s="25"/>
      <c r="H18" s="25"/>
      <c r="I18" s="25"/>
      <c r="J18" s="25"/>
      <c r="K18" s="586"/>
      <c r="L18" s="587"/>
      <c r="M18" s="572"/>
      <c r="N18" s="43"/>
      <c r="O18" s="43"/>
      <c r="P18" s="43"/>
      <c r="Q18" s="43"/>
      <c r="R18" s="43"/>
      <c r="S18" s="43"/>
    </row>
    <row r="19" spans="3:19" ht="12.75">
      <c r="C19" t="s">
        <v>686</v>
      </c>
      <c r="D19" t="s">
        <v>1081</v>
      </c>
      <c r="F19" s="25"/>
      <c r="G19" s="25"/>
      <c r="H19" s="25"/>
      <c r="I19" s="25"/>
      <c r="J19" s="25"/>
      <c r="K19" s="586"/>
      <c r="L19" s="587"/>
      <c r="M19" s="572"/>
      <c r="N19" s="43"/>
      <c r="O19" s="43"/>
      <c r="P19" s="43"/>
      <c r="Q19" s="43"/>
      <c r="R19" s="43"/>
      <c r="S19" s="43"/>
    </row>
    <row r="20" spans="3:19" ht="12.75">
      <c r="C20" t="s">
        <v>686</v>
      </c>
      <c r="D20" t="s">
        <v>1082</v>
      </c>
      <c r="F20" s="25"/>
      <c r="G20" s="25"/>
      <c r="H20" s="25"/>
      <c r="I20" s="25"/>
      <c r="J20" s="25"/>
      <c r="K20" s="586"/>
      <c r="L20" s="587"/>
      <c r="M20" s="572"/>
      <c r="N20" s="43"/>
      <c r="O20" s="43"/>
      <c r="P20" s="43"/>
      <c r="Q20" s="43"/>
      <c r="R20" s="43"/>
      <c r="S20" s="43"/>
    </row>
    <row r="21" spans="3:19" ht="12.75">
      <c r="C21" t="s">
        <v>686</v>
      </c>
      <c r="D21" t="s">
        <v>1083</v>
      </c>
      <c r="F21" s="25"/>
      <c r="G21" s="25"/>
      <c r="H21" s="25"/>
      <c r="I21" s="25"/>
      <c r="J21" s="25"/>
      <c r="K21" s="586"/>
      <c r="L21" s="587"/>
      <c r="M21" s="572"/>
      <c r="N21" s="43"/>
      <c r="O21" s="43"/>
      <c r="P21" s="43"/>
      <c r="Q21" s="43"/>
      <c r="R21" s="43"/>
      <c r="S21" s="43"/>
    </row>
    <row r="22" spans="3:19" ht="12.75">
      <c r="C22" t="s">
        <v>686</v>
      </c>
      <c r="D22" t="s">
        <v>1084</v>
      </c>
      <c r="F22" s="25"/>
      <c r="G22" s="25"/>
      <c r="H22" s="25"/>
      <c r="I22" s="25"/>
      <c r="J22" s="25"/>
      <c r="K22" s="586"/>
      <c r="L22" s="587"/>
      <c r="M22" s="572"/>
      <c r="N22" s="43"/>
      <c r="O22" s="43"/>
      <c r="P22" s="43"/>
      <c r="Q22" s="43"/>
      <c r="R22" s="43"/>
      <c r="S22" s="43"/>
    </row>
    <row r="23" spans="3:19" ht="12.75">
      <c r="C23" t="s">
        <v>686</v>
      </c>
      <c r="D23" t="s">
        <v>1085</v>
      </c>
      <c r="F23" s="25"/>
      <c r="G23" s="25"/>
      <c r="H23" s="25"/>
      <c r="I23" s="25"/>
      <c r="J23" s="25"/>
      <c r="K23" s="586"/>
      <c r="L23" s="587"/>
      <c r="M23" s="572"/>
      <c r="N23" s="43"/>
      <c r="O23" s="43"/>
      <c r="P23" s="43"/>
      <c r="Q23" s="43"/>
      <c r="R23" s="43"/>
      <c r="S23" s="43"/>
    </row>
    <row r="24" spans="1:19" ht="12.75">
      <c r="A24" s="38"/>
      <c r="B24" s="25"/>
      <c r="C24" t="s">
        <v>686</v>
      </c>
      <c r="D24" t="s">
        <v>1086</v>
      </c>
      <c r="E24" s="25"/>
      <c r="F24" s="25"/>
      <c r="G24" s="25"/>
      <c r="H24" s="25"/>
      <c r="I24" s="25"/>
      <c r="J24" s="25"/>
      <c r="K24" s="586"/>
      <c r="L24" s="587"/>
      <c r="M24" s="572"/>
      <c r="N24" s="43"/>
      <c r="O24" s="43"/>
      <c r="P24" s="43"/>
      <c r="Q24" s="43"/>
      <c r="R24" s="43"/>
      <c r="S24" s="43"/>
    </row>
    <row r="25" spans="1:19" ht="12.75">
      <c r="A25" s="38">
        <v>9206059000</v>
      </c>
      <c r="B25" s="25" t="s">
        <v>921</v>
      </c>
      <c r="C25" t="s">
        <v>1063</v>
      </c>
      <c r="D25" t="s">
        <v>1087</v>
      </c>
      <c r="K25" s="586"/>
      <c r="L25" s="582"/>
      <c r="M25" s="588"/>
      <c r="N25" s="43"/>
      <c r="O25" s="43"/>
      <c r="P25" s="43"/>
      <c r="Q25" s="43"/>
      <c r="R25" s="43"/>
      <c r="S25" s="43"/>
    </row>
    <row r="26" spans="1:19" ht="12.75">
      <c r="A26" s="38">
        <v>9206060000</v>
      </c>
      <c r="B26" s="25" t="s">
        <v>922</v>
      </c>
      <c r="C26" t="s">
        <v>1063</v>
      </c>
      <c r="D26" t="s">
        <v>1088</v>
      </c>
      <c r="K26" s="586"/>
      <c r="L26" s="582"/>
      <c r="M26" s="588"/>
      <c r="N26" s="43"/>
      <c r="O26" s="43"/>
      <c r="P26" s="43"/>
      <c r="Q26" s="43"/>
      <c r="R26" s="43"/>
      <c r="S26" s="43"/>
    </row>
    <row r="27" spans="1:19" ht="12.75">
      <c r="A27" s="38">
        <v>9206061000</v>
      </c>
      <c r="B27" s="25" t="s">
        <v>923</v>
      </c>
      <c r="C27" t="s">
        <v>1063</v>
      </c>
      <c r="D27" t="s">
        <v>1089</v>
      </c>
      <c r="K27" s="586"/>
      <c r="L27" s="582"/>
      <c r="M27" s="588"/>
      <c r="N27" s="43"/>
      <c r="O27" s="43"/>
      <c r="P27" s="43"/>
      <c r="Q27" s="43"/>
      <c r="R27" s="43"/>
      <c r="S27" s="43"/>
    </row>
    <row r="28" spans="1:19" ht="12.75">
      <c r="A28" s="38">
        <v>9206062000</v>
      </c>
      <c r="B28" s="25" t="s">
        <v>924</v>
      </c>
      <c r="C28" t="s">
        <v>1063</v>
      </c>
      <c r="D28" t="s">
        <v>1090</v>
      </c>
      <c r="K28" s="586"/>
      <c r="L28" s="582"/>
      <c r="M28" s="588"/>
      <c r="N28" s="43"/>
      <c r="O28" s="43"/>
      <c r="P28" s="43"/>
      <c r="Q28" s="43"/>
      <c r="R28" s="43"/>
      <c r="S28" s="43"/>
    </row>
    <row r="29" spans="1:19" ht="12.75">
      <c r="A29" s="38">
        <v>9206063000</v>
      </c>
      <c r="B29" s="25" t="s">
        <v>925</v>
      </c>
      <c r="C29" t="s">
        <v>1063</v>
      </c>
      <c r="D29" t="s">
        <v>1091</v>
      </c>
      <c r="K29" s="586"/>
      <c r="L29" s="582"/>
      <c r="M29" s="588"/>
      <c r="N29" s="43"/>
      <c r="O29" s="43"/>
      <c r="P29" s="43"/>
      <c r="Q29" s="43"/>
      <c r="R29" s="43"/>
      <c r="S29" s="43"/>
    </row>
    <row r="30" spans="1:19" ht="12.75">
      <c r="A30" s="38">
        <v>9206064000</v>
      </c>
      <c r="B30" s="25" t="s">
        <v>926</v>
      </c>
      <c r="C30" t="s">
        <v>1063</v>
      </c>
      <c r="D30" t="s">
        <v>1092</v>
      </c>
      <c r="K30" s="586"/>
      <c r="L30" s="582"/>
      <c r="M30" s="588"/>
      <c r="N30" s="43"/>
      <c r="O30" s="43"/>
      <c r="P30" s="43"/>
      <c r="Q30" s="43"/>
      <c r="R30" s="43"/>
      <c r="S30" s="43"/>
    </row>
    <row r="31" spans="1:19" ht="12.75">
      <c r="A31" s="38">
        <v>9324155000</v>
      </c>
      <c r="B31" s="25" t="s">
        <v>927</v>
      </c>
      <c r="C31" t="s">
        <v>928</v>
      </c>
      <c r="D31" t="s">
        <v>1093</v>
      </c>
      <c r="K31" s="586"/>
      <c r="L31" s="582"/>
      <c r="M31" s="588"/>
      <c r="N31" s="43"/>
      <c r="O31" s="43"/>
      <c r="P31" s="43"/>
      <c r="Q31" s="43"/>
      <c r="R31" s="43"/>
      <c r="S31" s="43"/>
    </row>
    <row r="32" spans="1:19" ht="12.75">
      <c r="A32" s="38">
        <v>9324156000</v>
      </c>
      <c r="B32" s="25" t="s">
        <v>929</v>
      </c>
      <c r="C32" t="s">
        <v>928</v>
      </c>
      <c r="D32" t="s">
        <v>1094</v>
      </c>
      <c r="K32" s="586"/>
      <c r="L32" s="582"/>
      <c r="M32" s="588"/>
      <c r="N32" s="43"/>
      <c r="O32" s="43"/>
      <c r="P32" s="43"/>
      <c r="Q32" s="43"/>
      <c r="R32" s="43"/>
      <c r="S32" s="43"/>
    </row>
    <row r="33" spans="1:19" ht="12.75">
      <c r="A33" s="38">
        <v>9324157000</v>
      </c>
      <c r="B33" s="25" t="s">
        <v>930</v>
      </c>
      <c r="C33" t="s">
        <v>928</v>
      </c>
      <c r="D33" t="s">
        <v>1095</v>
      </c>
      <c r="K33" s="586"/>
      <c r="L33" s="582"/>
      <c r="M33" s="588"/>
      <c r="N33" s="43"/>
      <c r="O33" s="43"/>
      <c r="P33" s="43"/>
      <c r="Q33" s="43"/>
      <c r="R33" s="43"/>
      <c r="S33" s="43"/>
    </row>
    <row r="34" spans="1:19" ht="12.75">
      <c r="A34" s="38">
        <v>9324158000</v>
      </c>
      <c r="B34" s="25" t="s">
        <v>931</v>
      </c>
      <c r="C34" t="s">
        <v>928</v>
      </c>
      <c r="D34" t="s">
        <v>1096</v>
      </c>
      <c r="K34" s="586"/>
      <c r="L34" s="582"/>
      <c r="M34" s="588"/>
      <c r="N34" s="43"/>
      <c r="O34" s="43"/>
      <c r="P34" s="43"/>
      <c r="Q34" s="43"/>
      <c r="R34" s="43"/>
      <c r="S34" s="43"/>
    </row>
    <row r="35" spans="1:19" ht="12.75">
      <c r="A35" s="38">
        <v>9324159000</v>
      </c>
      <c r="B35" s="25" t="s">
        <v>932</v>
      </c>
      <c r="C35" t="s">
        <v>928</v>
      </c>
      <c r="D35" t="s">
        <v>1097</v>
      </c>
      <c r="K35" s="586"/>
      <c r="L35" s="582"/>
      <c r="M35" s="588"/>
      <c r="N35" s="43"/>
      <c r="O35" s="43"/>
      <c r="P35" s="43"/>
      <c r="Q35" s="43"/>
      <c r="R35" s="43"/>
      <c r="S35" s="43"/>
    </row>
    <row r="36" spans="1:19" ht="12.75">
      <c r="A36" s="38">
        <v>9324160000</v>
      </c>
      <c r="B36" s="25" t="s">
        <v>933</v>
      </c>
      <c r="C36" t="s">
        <v>928</v>
      </c>
      <c r="D36" t="s">
        <v>1098</v>
      </c>
      <c r="K36" s="586"/>
      <c r="L36" s="582"/>
      <c r="M36" s="588"/>
      <c r="N36" s="43"/>
      <c r="O36" s="43"/>
      <c r="P36" s="43"/>
      <c r="Q36" s="43"/>
      <c r="R36" s="43"/>
      <c r="S36" s="43"/>
    </row>
    <row r="37" spans="1:19" ht="12.75">
      <c r="A37" s="38">
        <v>9501156000</v>
      </c>
      <c r="B37" s="25" t="s">
        <v>934</v>
      </c>
      <c r="C37" t="s">
        <v>928</v>
      </c>
      <c r="D37" t="s">
        <v>1099</v>
      </c>
      <c r="K37" s="586"/>
      <c r="L37" s="582"/>
      <c r="M37" s="588"/>
      <c r="N37" s="43"/>
      <c r="O37" s="43"/>
      <c r="P37" s="43"/>
      <c r="Q37" s="43"/>
      <c r="R37" s="43"/>
      <c r="S37" s="43"/>
    </row>
    <row r="38" spans="1:19" ht="12.75">
      <c r="A38" s="38">
        <v>9231712000</v>
      </c>
      <c r="B38" s="25" t="s">
        <v>940</v>
      </c>
      <c r="C38" t="s">
        <v>928</v>
      </c>
      <c r="D38" t="s">
        <v>1100</v>
      </c>
      <c r="E38" t="s">
        <v>942</v>
      </c>
      <c r="K38" s="586"/>
      <c r="L38" s="582"/>
      <c r="M38" s="588"/>
      <c r="N38" s="43"/>
      <c r="O38" s="43"/>
      <c r="P38" s="43"/>
      <c r="Q38" s="43"/>
      <c r="R38" s="43"/>
      <c r="S38" s="43"/>
    </row>
    <row r="39" spans="1:19" ht="12.75">
      <c r="A39" s="38">
        <v>9231713000</v>
      </c>
      <c r="B39" s="25" t="s">
        <v>939</v>
      </c>
      <c r="C39" t="s">
        <v>928</v>
      </c>
      <c r="D39" t="s">
        <v>1101</v>
      </c>
      <c r="E39" t="s">
        <v>942</v>
      </c>
      <c r="K39" s="586"/>
      <c r="L39" s="582"/>
      <c r="M39" s="588"/>
      <c r="N39" s="43"/>
      <c r="O39" s="43"/>
      <c r="P39" s="43"/>
      <c r="Q39" s="43"/>
      <c r="R39" s="43"/>
      <c r="S39" s="43"/>
    </row>
    <row r="40" spans="1:19" ht="12.75">
      <c r="A40" s="38">
        <v>9231714000</v>
      </c>
      <c r="B40" s="25" t="s">
        <v>938</v>
      </c>
      <c r="C40" t="s">
        <v>928</v>
      </c>
      <c r="D40" t="s">
        <v>1102</v>
      </c>
      <c r="E40" t="s">
        <v>942</v>
      </c>
      <c r="K40" s="586"/>
      <c r="L40" s="582"/>
      <c r="M40" s="588"/>
      <c r="N40" s="43"/>
      <c r="O40" s="43"/>
      <c r="P40" s="43"/>
      <c r="Q40" s="43"/>
      <c r="R40" s="43"/>
      <c r="S40" s="43"/>
    </row>
    <row r="41" spans="1:19" ht="12.75">
      <c r="A41" s="38">
        <v>9231715000</v>
      </c>
      <c r="B41" s="25" t="s">
        <v>935</v>
      </c>
      <c r="C41" t="s">
        <v>928</v>
      </c>
      <c r="D41" t="s">
        <v>1103</v>
      </c>
      <c r="E41" t="s">
        <v>941</v>
      </c>
      <c r="K41" s="586"/>
      <c r="L41" s="582"/>
      <c r="M41" s="588"/>
      <c r="N41" s="43"/>
      <c r="O41" s="43"/>
      <c r="P41" s="43"/>
      <c r="Q41" s="43"/>
      <c r="R41" s="43"/>
      <c r="S41" s="43"/>
    </row>
    <row r="42" spans="1:19" ht="12.75">
      <c r="A42" s="38">
        <v>9231716000</v>
      </c>
      <c r="B42" s="25" t="s">
        <v>936</v>
      </c>
      <c r="C42" t="s">
        <v>928</v>
      </c>
      <c r="D42" t="s">
        <v>1104</v>
      </c>
      <c r="E42" t="s">
        <v>941</v>
      </c>
      <c r="K42" s="586"/>
      <c r="L42" s="582"/>
      <c r="M42" s="588"/>
      <c r="N42" s="43"/>
      <c r="O42" s="43"/>
      <c r="P42" s="43"/>
      <c r="Q42" s="43"/>
      <c r="R42" s="43"/>
      <c r="S42" s="43"/>
    </row>
    <row r="43" spans="1:19" ht="12.75">
      <c r="A43" s="38">
        <v>9231717000</v>
      </c>
      <c r="B43" s="25" t="s">
        <v>937</v>
      </c>
      <c r="C43" t="s">
        <v>928</v>
      </c>
      <c r="D43" t="s">
        <v>1105</v>
      </c>
      <c r="E43" t="s">
        <v>941</v>
      </c>
      <c r="K43" s="586"/>
      <c r="L43" s="582"/>
      <c r="M43" s="588"/>
      <c r="N43" s="43"/>
      <c r="O43" s="43"/>
      <c r="P43" s="43"/>
      <c r="Q43" s="43"/>
      <c r="R43" s="43"/>
      <c r="S43" s="43"/>
    </row>
    <row r="44" spans="1:19" ht="12.75">
      <c r="A44" s="38">
        <v>9261393000</v>
      </c>
      <c r="B44" s="25" t="s">
        <v>943</v>
      </c>
      <c r="C44" t="s">
        <v>928</v>
      </c>
      <c r="D44" t="s">
        <v>1106</v>
      </c>
      <c r="E44" t="s">
        <v>944</v>
      </c>
      <c r="K44" s="586"/>
      <c r="L44" s="582"/>
      <c r="M44" s="588"/>
      <c r="N44" s="43"/>
      <c r="O44" s="43"/>
      <c r="P44" s="43"/>
      <c r="Q44" s="43"/>
      <c r="R44" s="43"/>
      <c r="S44" s="43"/>
    </row>
    <row r="45" spans="1:19" ht="12.75">
      <c r="A45" s="38">
        <v>9261429000</v>
      </c>
      <c r="B45" s="25" t="s">
        <v>173</v>
      </c>
      <c r="C45" s="43" t="s">
        <v>928</v>
      </c>
      <c r="D45" t="s">
        <v>1107</v>
      </c>
      <c r="E45" s="43" t="s">
        <v>945</v>
      </c>
      <c r="F45" s="43"/>
      <c r="G45" s="43"/>
      <c r="H45" s="43"/>
      <c r="I45" s="43"/>
      <c r="J45" s="43"/>
      <c r="K45" s="586"/>
      <c r="L45" s="582"/>
      <c r="M45" s="588"/>
      <c r="N45" s="43"/>
      <c r="O45" s="43"/>
      <c r="P45" s="43"/>
      <c r="Q45" s="43"/>
      <c r="R45" s="43"/>
      <c r="S45" s="43"/>
    </row>
    <row r="46" spans="1:19" ht="12.75">
      <c r="A46" s="38">
        <v>9371019000</v>
      </c>
      <c r="B46" s="25" t="s">
        <v>946</v>
      </c>
      <c r="C46" t="s">
        <v>928</v>
      </c>
      <c r="D46" t="s">
        <v>1108</v>
      </c>
      <c r="E46" t="s">
        <v>950</v>
      </c>
      <c r="K46" s="586"/>
      <c r="L46" s="582"/>
      <c r="M46" s="588"/>
      <c r="N46" s="43"/>
      <c r="O46" s="43"/>
      <c r="P46" s="43"/>
      <c r="Q46" s="43"/>
      <c r="R46" s="43"/>
      <c r="S46" s="43"/>
    </row>
    <row r="47" spans="1:19" ht="12.75">
      <c r="A47" s="38">
        <v>9281846000</v>
      </c>
      <c r="B47" s="25" t="s">
        <v>947</v>
      </c>
      <c r="C47" t="s">
        <v>928</v>
      </c>
      <c r="D47" t="s">
        <v>1109</v>
      </c>
      <c r="E47" t="s">
        <v>952</v>
      </c>
      <c r="K47" s="586"/>
      <c r="L47" s="582"/>
      <c r="M47" s="588"/>
      <c r="N47" s="43"/>
      <c r="O47" s="43"/>
      <c r="P47" s="43"/>
      <c r="Q47" s="43"/>
      <c r="R47" s="43"/>
      <c r="S47" s="43"/>
    </row>
    <row r="48" spans="1:19" ht="12.75">
      <c r="A48" s="38">
        <v>9281847000</v>
      </c>
      <c r="B48" s="25" t="s">
        <v>948</v>
      </c>
      <c r="C48" t="s">
        <v>928</v>
      </c>
      <c r="D48" t="s">
        <v>1110</v>
      </c>
      <c r="E48" t="s">
        <v>952</v>
      </c>
      <c r="K48" s="586"/>
      <c r="L48" s="582"/>
      <c r="M48" s="588"/>
      <c r="N48" s="43"/>
      <c r="O48" s="43"/>
      <c r="P48" s="43"/>
      <c r="Q48" s="43"/>
      <c r="R48" s="43"/>
      <c r="S48" s="43"/>
    </row>
    <row r="49" spans="1:19" ht="12.75">
      <c r="A49" s="38">
        <v>9281848000</v>
      </c>
      <c r="B49" s="25" t="s">
        <v>949</v>
      </c>
      <c r="C49" t="s">
        <v>928</v>
      </c>
      <c r="D49" t="s">
        <v>1111</v>
      </c>
      <c r="E49" t="s">
        <v>952</v>
      </c>
      <c r="K49" s="586"/>
      <c r="L49" s="582"/>
      <c r="M49" s="588"/>
      <c r="N49" s="43"/>
      <c r="O49" s="43"/>
      <c r="P49" s="43"/>
      <c r="Q49" s="43"/>
      <c r="R49" s="43"/>
      <c r="S49" s="43"/>
    </row>
    <row r="50" spans="1:19" ht="12.75">
      <c r="A50" s="38">
        <v>9281835000</v>
      </c>
      <c r="B50" s="25" t="s">
        <v>951</v>
      </c>
      <c r="C50" t="s">
        <v>928</v>
      </c>
      <c r="D50" t="s">
        <v>1112</v>
      </c>
      <c r="E50" t="s">
        <v>953</v>
      </c>
      <c r="K50" s="586"/>
      <c r="L50" s="582"/>
      <c r="M50" s="588"/>
      <c r="N50" s="43"/>
      <c r="O50" s="43"/>
      <c r="P50" s="43"/>
      <c r="Q50" s="43"/>
      <c r="R50" s="43"/>
      <c r="S50" s="43"/>
    </row>
    <row r="51" spans="1:19" ht="12.75">
      <c r="A51" s="38">
        <v>9261009000</v>
      </c>
      <c r="B51" t="s">
        <v>199</v>
      </c>
      <c r="C51" t="s">
        <v>928</v>
      </c>
      <c r="D51" t="s">
        <v>1113</v>
      </c>
      <c r="E51" t="s">
        <v>953</v>
      </c>
      <c r="K51" s="586"/>
      <c r="L51" s="582"/>
      <c r="M51" s="588"/>
      <c r="N51" s="43"/>
      <c r="O51" s="43"/>
      <c r="P51" s="43"/>
      <c r="Q51" s="43"/>
      <c r="R51" s="43"/>
      <c r="S51" s="43"/>
    </row>
    <row r="52" spans="1:19" ht="12.75">
      <c r="A52" s="38">
        <v>9262009000</v>
      </c>
      <c r="B52" s="25" t="s">
        <v>954</v>
      </c>
      <c r="C52" t="s">
        <v>928</v>
      </c>
      <c r="D52" t="s">
        <v>1114</v>
      </c>
      <c r="E52" t="s">
        <v>957</v>
      </c>
      <c r="K52" s="586"/>
      <c r="L52" s="582"/>
      <c r="M52" s="588"/>
      <c r="N52" s="43"/>
      <c r="O52" s="43"/>
      <c r="P52" s="43"/>
      <c r="Q52" s="43"/>
      <c r="R52" s="43"/>
      <c r="S52" s="43"/>
    </row>
    <row r="53" spans="1:19" ht="12.75">
      <c r="A53" s="38">
        <v>9262012000</v>
      </c>
      <c r="B53" s="25" t="s">
        <v>955</v>
      </c>
      <c r="C53" s="43" t="s">
        <v>928</v>
      </c>
      <c r="D53" t="s">
        <v>1115</v>
      </c>
      <c r="E53" s="43" t="s">
        <v>957</v>
      </c>
      <c r="F53" s="43"/>
      <c r="G53" s="43"/>
      <c r="H53" s="43"/>
      <c r="I53" s="43"/>
      <c r="J53" s="43"/>
      <c r="K53" s="586"/>
      <c r="L53" s="582"/>
      <c r="M53" s="588"/>
      <c r="N53" s="43"/>
      <c r="O53" s="43"/>
      <c r="P53" s="43"/>
      <c r="Q53" s="43"/>
      <c r="R53" s="43"/>
      <c r="S53" s="43"/>
    </row>
    <row r="54" spans="1:19" ht="12.75">
      <c r="A54" s="38">
        <v>9281838000</v>
      </c>
      <c r="B54" s="25" t="s">
        <v>956</v>
      </c>
      <c r="C54" t="s">
        <v>928</v>
      </c>
      <c r="D54" t="s">
        <v>1116</v>
      </c>
      <c r="E54" t="s">
        <v>957</v>
      </c>
      <c r="F54" s="43"/>
      <c r="G54" s="43"/>
      <c r="H54" s="43"/>
      <c r="I54" s="43"/>
      <c r="J54" s="43"/>
      <c r="K54" s="586"/>
      <c r="L54" s="582"/>
      <c r="M54" s="588"/>
      <c r="N54" s="43"/>
      <c r="O54" s="43"/>
      <c r="P54" s="43"/>
      <c r="Q54" s="43"/>
      <c r="R54" s="43"/>
      <c r="S54" s="43"/>
    </row>
    <row r="55" spans="1:19" ht="12.75">
      <c r="A55" s="38">
        <v>9531042000</v>
      </c>
      <c r="B55" s="25" t="s">
        <v>958</v>
      </c>
      <c r="C55" t="s">
        <v>928</v>
      </c>
      <c r="D55" t="s">
        <v>1117</v>
      </c>
      <c r="E55" s="886" t="s">
        <v>964</v>
      </c>
      <c r="F55" s="294"/>
      <c r="G55" s="294"/>
      <c r="H55" s="294"/>
      <c r="I55" s="294"/>
      <c r="J55" s="294"/>
      <c r="K55" s="586"/>
      <c r="L55" s="582"/>
      <c r="M55" s="588"/>
      <c r="N55" s="43"/>
      <c r="O55" s="43"/>
      <c r="P55" s="43"/>
      <c r="Q55" s="43"/>
      <c r="R55" s="43"/>
      <c r="S55" s="43"/>
    </row>
    <row r="56" spans="1:19" ht="12.75">
      <c r="A56" s="38">
        <v>9261257000</v>
      </c>
      <c r="B56" s="25" t="s">
        <v>18</v>
      </c>
      <c r="C56" t="s">
        <v>928</v>
      </c>
      <c r="D56" t="s">
        <v>1118</v>
      </c>
      <c r="E56" s="886"/>
      <c r="F56" s="294"/>
      <c r="G56" s="294"/>
      <c r="H56" s="294"/>
      <c r="I56" s="294"/>
      <c r="J56" s="294"/>
      <c r="K56" s="586"/>
      <c r="L56" s="582"/>
      <c r="M56" s="588"/>
      <c r="N56" s="43"/>
      <c r="O56" s="43"/>
      <c r="P56" s="43"/>
      <c r="Q56" s="43"/>
      <c r="R56" s="43"/>
      <c r="S56" s="43"/>
    </row>
    <row r="57" spans="1:19" ht="12.75">
      <c r="A57" s="38">
        <v>9531041000</v>
      </c>
      <c r="B57" s="25" t="s">
        <v>959</v>
      </c>
      <c r="C57" t="s">
        <v>928</v>
      </c>
      <c r="D57" t="s">
        <v>1119</v>
      </c>
      <c r="E57" s="885" t="s">
        <v>962</v>
      </c>
      <c r="F57" s="295"/>
      <c r="G57" s="295"/>
      <c r="H57" s="295"/>
      <c r="I57" s="295"/>
      <c r="J57" s="295"/>
      <c r="K57" s="586"/>
      <c r="L57" s="582"/>
      <c r="M57" s="588"/>
      <c r="N57" s="43"/>
      <c r="O57" s="43"/>
      <c r="P57" s="43"/>
      <c r="Q57" s="43"/>
      <c r="R57" s="43"/>
      <c r="S57" s="43"/>
    </row>
    <row r="58" spans="1:19" ht="12.75">
      <c r="A58" s="38">
        <v>9261264000</v>
      </c>
      <c r="B58" t="s">
        <v>960</v>
      </c>
      <c r="C58" t="s">
        <v>928</v>
      </c>
      <c r="D58" t="s">
        <v>1120</v>
      </c>
      <c r="E58" s="885"/>
      <c r="F58" s="295"/>
      <c r="G58" s="295"/>
      <c r="H58" s="295"/>
      <c r="I58" s="295"/>
      <c r="J58" s="295"/>
      <c r="K58" s="586"/>
      <c r="L58" s="582"/>
      <c r="M58" s="588"/>
      <c r="N58" s="43"/>
      <c r="O58" s="43"/>
      <c r="P58" s="43"/>
      <c r="Q58" s="43"/>
      <c r="R58" s="43"/>
      <c r="S58" s="43"/>
    </row>
    <row r="59" spans="1:19" ht="12.75">
      <c r="A59" s="38">
        <v>9263036000</v>
      </c>
      <c r="B59" s="25" t="s">
        <v>961</v>
      </c>
      <c r="C59" t="s">
        <v>928</v>
      </c>
      <c r="D59" t="s">
        <v>1121</v>
      </c>
      <c r="E59" s="885"/>
      <c r="F59" s="295"/>
      <c r="G59" s="295"/>
      <c r="H59" s="295"/>
      <c r="I59" s="295"/>
      <c r="J59" s="295"/>
      <c r="K59" s="586"/>
      <c r="L59" s="582"/>
      <c r="M59" s="588"/>
      <c r="N59" s="43"/>
      <c r="O59" s="43"/>
      <c r="P59" s="43"/>
      <c r="Q59" s="43"/>
      <c r="R59" s="43"/>
      <c r="S59" s="43"/>
    </row>
    <row r="60" spans="1:19" ht="12.75">
      <c r="A60" s="38">
        <v>9501148000</v>
      </c>
      <c r="B60" s="25" t="s">
        <v>54</v>
      </c>
      <c r="C60" t="s">
        <v>928</v>
      </c>
      <c r="D60" t="s">
        <v>1122</v>
      </c>
      <c r="E60" t="s">
        <v>963</v>
      </c>
      <c r="F60" s="43"/>
      <c r="G60" s="43"/>
      <c r="H60" s="43"/>
      <c r="I60" s="43"/>
      <c r="J60" s="43"/>
      <c r="K60" s="586"/>
      <c r="L60" s="582"/>
      <c r="M60" s="588"/>
      <c r="N60" s="43"/>
      <c r="O60" s="43"/>
      <c r="P60" s="43"/>
      <c r="Q60" s="43"/>
      <c r="R60" s="43"/>
      <c r="S60" s="43"/>
    </row>
    <row r="61" spans="1:19" ht="12.75">
      <c r="A61" s="38">
        <v>9421550000</v>
      </c>
      <c r="B61" s="25" t="s">
        <v>975</v>
      </c>
      <c r="C61" t="s">
        <v>928</v>
      </c>
      <c r="D61" t="s">
        <v>1123</v>
      </c>
      <c r="E61" s="887" t="s">
        <v>979</v>
      </c>
      <c r="F61" s="294"/>
      <c r="G61" s="294"/>
      <c r="H61" s="294"/>
      <c r="I61" s="294"/>
      <c r="J61" s="294"/>
      <c r="K61" s="586"/>
      <c r="L61" s="582"/>
      <c r="M61" s="588"/>
      <c r="N61" s="43"/>
      <c r="O61" s="43"/>
      <c r="P61" s="43"/>
      <c r="Q61" s="43"/>
      <c r="R61" s="43"/>
      <c r="S61" s="43"/>
    </row>
    <row r="62" spans="1:19" ht="12.75">
      <c r="A62" s="38">
        <v>9421551000</v>
      </c>
      <c r="B62" s="25" t="s">
        <v>974</v>
      </c>
      <c r="C62" t="s">
        <v>928</v>
      </c>
      <c r="D62" t="s">
        <v>1124</v>
      </c>
      <c r="E62" s="887"/>
      <c r="F62" s="294"/>
      <c r="G62" s="294"/>
      <c r="H62" s="294"/>
      <c r="I62" s="294"/>
      <c r="J62" s="294"/>
      <c r="K62" s="586"/>
      <c r="L62" s="582"/>
      <c r="M62" s="588"/>
      <c r="N62" s="43"/>
      <c r="O62" s="43"/>
      <c r="P62" s="43"/>
      <c r="Q62" s="43"/>
      <c r="R62" s="43"/>
      <c r="S62" s="43"/>
    </row>
    <row r="63" spans="1:19" ht="12.75">
      <c r="A63" s="38">
        <v>9421552000</v>
      </c>
      <c r="B63" s="25" t="s">
        <v>976</v>
      </c>
      <c r="C63" t="s">
        <v>928</v>
      </c>
      <c r="D63" t="s">
        <v>1125</v>
      </c>
      <c r="E63" s="887"/>
      <c r="F63" s="294"/>
      <c r="G63" s="294"/>
      <c r="H63" s="294"/>
      <c r="I63" s="294"/>
      <c r="J63" s="294"/>
      <c r="K63" s="586"/>
      <c r="L63" s="582"/>
      <c r="M63" s="588"/>
      <c r="N63" s="43"/>
      <c r="O63" s="43"/>
      <c r="P63" s="43"/>
      <c r="Q63" s="43"/>
      <c r="R63" s="43"/>
      <c r="S63" s="43"/>
    </row>
    <row r="64" spans="1:19" ht="12.75">
      <c r="A64" s="38">
        <v>9421598000</v>
      </c>
      <c r="B64" s="25" t="s">
        <v>977</v>
      </c>
      <c r="C64" t="s">
        <v>928</v>
      </c>
      <c r="D64" t="s">
        <v>1126</v>
      </c>
      <c r="E64" t="s">
        <v>978</v>
      </c>
      <c r="F64" s="43"/>
      <c r="G64" s="43"/>
      <c r="H64" s="43"/>
      <c r="I64" s="43"/>
      <c r="J64" s="43"/>
      <c r="K64" s="586"/>
      <c r="L64" s="582"/>
      <c r="M64" s="588"/>
      <c r="N64" s="43"/>
      <c r="O64" s="43"/>
      <c r="P64" s="43"/>
      <c r="Q64" s="43"/>
      <c r="R64" s="43"/>
      <c r="S64" s="43"/>
    </row>
    <row r="65" spans="1:19" ht="12.75">
      <c r="A65" s="38">
        <v>9511464000</v>
      </c>
      <c r="B65" s="25" t="s">
        <v>994</v>
      </c>
      <c r="C65" t="s">
        <v>928</v>
      </c>
      <c r="D65" t="s">
        <v>1127</v>
      </c>
      <c r="F65" s="43"/>
      <c r="G65" s="43"/>
      <c r="H65" s="43"/>
      <c r="I65" s="43"/>
      <c r="J65" s="43"/>
      <c r="K65" s="586"/>
      <c r="L65" s="582"/>
      <c r="M65" s="588"/>
      <c r="N65" s="43"/>
      <c r="O65" s="43"/>
      <c r="P65" s="43"/>
      <c r="Q65" s="43"/>
      <c r="R65" s="43"/>
      <c r="S65" s="43"/>
    </row>
    <row r="66" spans="1:19" ht="12.75">
      <c r="A66" s="41">
        <v>9421553000</v>
      </c>
      <c r="B66" s="39" t="s">
        <v>965</v>
      </c>
      <c r="C66" t="s">
        <v>928</v>
      </c>
      <c r="D66" t="s">
        <v>1128</v>
      </c>
      <c r="F66" s="43"/>
      <c r="G66" s="43"/>
      <c r="H66" s="43"/>
      <c r="I66" s="43"/>
      <c r="J66" s="43"/>
      <c r="K66" s="586"/>
      <c r="L66" s="582"/>
      <c r="M66" s="588"/>
      <c r="N66" s="43"/>
      <c r="O66" s="43"/>
      <c r="P66" s="43"/>
      <c r="Q66" s="43"/>
      <c r="R66" s="43"/>
      <c r="S66" s="43"/>
    </row>
    <row r="67" spans="1:19" ht="12.75">
      <c r="A67" s="41">
        <v>9421554000</v>
      </c>
      <c r="B67" s="39" t="s">
        <v>966</v>
      </c>
      <c r="C67" t="s">
        <v>928</v>
      </c>
      <c r="D67" t="s">
        <v>1129</v>
      </c>
      <c r="F67" s="43"/>
      <c r="G67" s="43"/>
      <c r="H67" s="43"/>
      <c r="I67" s="43"/>
      <c r="J67" s="43"/>
      <c r="K67" s="586"/>
      <c r="L67" s="582"/>
      <c r="M67" s="588"/>
      <c r="N67" s="43"/>
      <c r="O67" s="43"/>
      <c r="P67" s="43"/>
      <c r="Q67" s="43"/>
      <c r="R67" s="43"/>
      <c r="S67" s="43"/>
    </row>
    <row r="68" spans="1:19" ht="12.75">
      <c r="A68" s="41">
        <v>9421555000</v>
      </c>
      <c r="B68" s="39" t="s">
        <v>967</v>
      </c>
      <c r="C68" t="s">
        <v>928</v>
      </c>
      <c r="D68" t="s">
        <v>1130</v>
      </c>
      <c r="F68" s="43"/>
      <c r="G68" s="43"/>
      <c r="H68" s="43"/>
      <c r="I68" s="43"/>
      <c r="J68" s="43"/>
      <c r="K68" s="586"/>
      <c r="L68" s="582"/>
      <c r="M68" s="588"/>
      <c r="N68" s="43"/>
      <c r="O68" s="43"/>
      <c r="P68" s="43"/>
      <c r="Q68" s="43"/>
      <c r="R68" s="43"/>
      <c r="S68" s="43"/>
    </row>
    <row r="69" spans="1:19" ht="12.75">
      <c r="A69" s="41">
        <v>9421556000</v>
      </c>
      <c r="B69" s="39" t="s">
        <v>968</v>
      </c>
      <c r="C69" t="s">
        <v>928</v>
      </c>
      <c r="D69" t="s">
        <v>1131</v>
      </c>
      <c r="F69" s="43"/>
      <c r="G69" s="43"/>
      <c r="H69" s="43"/>
      <c r="I69" s="43"/>
      <c r="J69" s="43"/>
      <c r="K69" s="586"/>
      <c r="L69" s="582"/>
      <c r="M69" s="588"/>
      <c r="N69" s="43"/>
      <c r="O69" s="43"/>
      <c r="P69" s="43"/>
      <c r="Q69" s="43"/>
      <c r="R69" s="43"/>
      <c r="S69" s="43"/>
    </row>
    <row r="70" spans="1:19" ht="12.75">
      <c r="A70" s="41">
        <v>9421594000</v>
      </c>
      <c r="B70" s="39" t="s">
        <v>973</v>
      </c>
      <c r="C70" t="s">
        <v>928</v>
      </c>
      <c r="D70" t="s">
        <v>1132</v>
      </c>
      <c r="F70" s="43"/>
      <c r="G70" s="43"/>
      <c r="H70" s="43"/>
      <c r="I70" s="43"/>
      <c r="J70" s="43"/>
      <c r="K70" s="586"/>
      <c r="L70" s="582"/>
      <c r="M70" s="588"/>
      <c r="N70" s="43"/>
      <c r="O70" s="43"/>
      <c r="P70" s="43"/>
      <c r="Q70" s="43"/>
      <c r="R70" s="43"/>
      <c r="S70" s="43"/>
    </row>
    <row r="71" spans="1:19" ht="12.75">
      <c r="A71" s="41">
        <v>9421557000</v>
      </c>
      <c r="B71" s="39" t="s">
        <v>969</v>
      </c>
      <c r="C71" t="s">
        <v>928</v>
      </c>
      <c r="D71" t="s">
        <v>1133</v>
      </c>
      <c r="F71" s="43"/>
      <c r="G71" s="43"/>
      <c r="H71" s="43"/>
      <c r="I71" s="43"/>
      <c r="J71" s="43"/>
      <c r="K71" s="586"/>
      <c r="L71" s="582"/>
      <c r="M71" s="588"/>
      <c r="N71" s="43"/>
      <c r="O71" s="43"/>
      <c r="P71" s="43"/>
      <c r="Q71" s="43"/>
      <c r="R71" s="43"/>
      <c r="S71" s="43"/>
    </row>
    <row r="72" spans="1:19" ht="12.75">
      <c r="A72" s="41">
        <v>9421558000</v>
      </c>
      <c r="B72" s="39" t="s">
        <v>970</v>
      </c>
      <c r="C72" t="s">
        <v>928</v>
      </c>
      <c r="D72" t="s">
        <v>1134</v>
      </c>
      <c r="F72" s="43"/>
      <c r="G72" s="43"/>
      <c r="H72" s="43"/>
      <c r="I72" s="43"/>
      <c r="J72" s="43"/>
      <c r="K72" s="586"/>
      <c r="L72" s="582"/>
      <c r="M72" s="588"/>
      <c r="N72" s="43"/>
      <c r="O72" s="43"/>
      <c r="P72" s="43"/>
      <c r="Q72" s="43"/>
      <c r="R72" s="43"/>
      <c r="S72" s="43"/>
    </row>
    <row r="73" spans="1:19" ht="12.75">
      <c r="A73" s="41">
        <v>9421559000</v>
      </c>
      <c r="B73" s="39" t="s">
        <v>971</v>
      </c>
      <c r="C73" t="s">
        <v>928</v>
      </c>
      <c r="D73" t="s">
        <v>1135</v>
      </c>
      <c r="F73" s="43"/>
      <c r="G73" s="43"/>
      <c r="H73" s="43"/>
      <c r="I73" s="43"/>
      <c r="J73" s="43"/>
      <c r="K73" s="586"/>
      <c r="L73" s="582"/>
      <c r="M73" s="588"/>
      <c r="N73" s="43"/>
      <c r="O73" s="43"/>
      <c r="P73" s="43"/>
      <c r="Q73" s="43"/>
      <c r="R73" s="43"/>
      <c r="S73" s="43"/>
    </row>
    <row r="74" spans="1:19" ht="12.75">
      <c r="A74" s="41">
        <v>9421560000</v>
      </c>
      <c r="B74" s="39" t="s">
        <v>972</v>
      </c>
      <c r="C74" t="s">
        <v>928</v>
      </c>
      <c r="D74" t="s">
        <v>1136</v>
      </c>
      <c r="F74" s="43"/>
      <c r="G74" s="43"/>
      <c r="H74" s="43"/>
      <c r="I74" s="43"/>
      <c r="J74" s="43"/>
      <c r="K74" s="586"/>
      <c r="L74" s="582"/>
      <c r="M74" s="588"/>
      <c r="N74" s="43"/>
      <c r="O74" s="43"/>
      <c r="P74" s="43"/>
      <c r="Q74" s="43"/>
      <c r="R74" s="43"/>
      <c r="S74" s="43"/>
    </row>
    <row r="75" spans="1:19" ht="12.75">
      <c r="A75" s="42">
        <v>9421562000</v>
      </c>
      <c r="B75" s="39" t="s">
        <v>985</v>
      </c>
      <c r="C75" t="s">
        <v>928</v>
      </c>
      <c r="D75" t="s">
        <v>1137</v>
      </c>
      <c r="F75" s="43"/>
      <c r="G75" s="43"/>
      <c r="H75" s="43"/>
      <c r="I75" s="43"/>
      <c r="J75" s="43"/>
      <c r="K75" s="586"/>
      <c r="L75" s="582"/>
      <c r="M75" s="588"/>
      <c r="N75" s="43"/>
      <c r="O75" s="43"/>
      <c r="P75" s="43"/>
      <c r="Q75" s="43"/>
      <c r="R75" s="43"/>
      <c r="S75" s="43"/>
    </row>
    <row r="76" spans="1:19" ht="12.75">
      <c r="A76" s="42">
        <v>9421563000</v>
      </c>
      <c r="B76" s="39" t="s">
        <v>986</v>
      </c>
      <c r="C76" t="s">
        <v>928</v>
      </c>
      <c r="D76" t="s">
        <v>1138</v>
      </c>
      <c r="F76" s="43"/>
      <c r="G76" s="43"/>
      <c r="H76" s="43"/>
      <c r="I76" s="43"/>
      <c r="J76" s="43"/>
      <c r="K76" s="586"/>
      <c r="L76" s="582"/>
      <c r="M76" s="588"/>
      <c r="N76" s="43"/>
      <c r="O76" s="43"/>
      <c r="P76" s="43"/>
      <c r="Q76" s="43"/>
      <c r="R76" s="43"/>
      <c r="S76" s="43"/>
    </row>
    <row r="77" spans="1:19" ht="12.75">
      <c r="A77" s="42">
        <v>9421564000</v>
      </c>
      <c r="B77" s="39" t="s">
        <v>987</v>
      </c>
      <c r="C77" t="s">
        <v>928</v>
      </c>
      <c r="D77" t="s">
        <v>1139</v>
      </c>
      <c r="F77" s="43"/>
      <c r="G77" s="43"/>
      <c r="H77" s="43"/>
      <c r="I77" s="43"/>
      <c r="J77" s="43"/>
      <c r="K77" s="586"/>
      <c r="L77" s="582"/>
      <c r="M77" s="588"/>
      <c r="N77" s="43"/>
      <c r="O77" s="43"/>
      <c r="P77" s="43"/>
      <c r="Q77" s="43"/>
      <c r="R77" s="43"/>
      <c r="S77" s="43"/>
    </row>
    <row r="78" spans="1:19" ht="12.75">
      <c r="A78" s="42">
        <v>9421565000</v>
      </c>
      <c r="B78" s="39" t="s">
        <v>988</v>
      </c>
      <c r="C78" t="s">
        <v>928</v>
      </c>
      <c r="D78" t="s">
        <v>1140</v>
      </c>
      <c r="F78" s="43"/>
      <c r="G78" s="43"/>
      <c r="H78" s="43"/>
      <c r="I78" s="43"/>
      <c r="J78" s="43"/>
      <c r="K78" s="586"/>
      <c r="L78" s="582"/>
      <c r="M78" s="588"/>
      <c r="N78" s="43"/>
      <c r="O78" s="43"/>
      <c r="P78" s="43"/>
      <c r="Q78" s="43"/>
      <c r="R78" s="43"/>
      <c r="S78" s="43"/>
    </row>
    <row r="79" spans="1:19" ht="12.75">
      <c r="A79" s="42">
        <v>9421566000</v>
      </c>
      <c r="B79" s="39" t="s">
        <v>989</v>
      </c>
      <c r="C79" t="s">
        <v>928</v>
      </c>
      <c r="D79" t="s">
        <v>1141</v>
      </c>
      <c r="F79" s="43"/>
      <c r="G79" s="43"/>
      <c r="H79" s="43"/>
      <c r="I79" s="43"/>
      <c r="J79" s="43"/>
      <c r="K79" s="586"/>
      <c r="L79" s="582"/>
      <c r="M79" s="588"/>
      <c r="N79" s="43"/>
      <c r="O79" s="43"/>
      <c r="P79" s="43"/>
      <c r="Q79" s="43"/>
      <c r="R79" s="43"/>
      <c r="S79" s="43"/>
    </row>
    <row r="80" spans="1:19" ht="12.75">
      <c r="A80" s="42">
        <v>9421567000</v>
      </c>
      <c r="B80" s="39" t="s">
        <v>990</v>
      </c>
      <c r="C80" t="s">
        <v>928</v>
      </c>
      <c r="D80" t="s">
        <v>1142</v>
      </c>
      <c r="F80" s="43"/>
      <c r="G80" s="43"/>
      <c r="H80" s="43"/>
      <c r="I80" s="43"/>
      <c r="J80" s="43"/>
      <c r="K80" s="586"/>
      <c r="L80" s="582"/>
      <c r="M80" s="588"/>
      <c r="N80" s="43"/>
      <c r="O80" s="43"/>
      <c r="P80" s="43"/>
      <c r="Q80" s="43"/>
      <c r="R80" s="43"/>
      <c r="S80" s="43"/>
    </row>
    <row r="81" spans="1:19" ht="12.75">
      <c r="A81" s="42">
        <v>9421568000</v>
      </c>
      <c r="B81" s="39" t="s">
        <v>991</v>
      </c>
      <c r="C81" t="s">
        <v>928</v>
      </c>
      <c r="D81" t="s">
        <v>1143</v>
      </c>
      <c r="F81" s="43"/>
      <c r="G81" s="43"/>
      <c r="H81" s="43"/>
      <c r="I81" s="43"/>
      <c r="J81" s="43"/>
      <c r="K81" s="586"/>
      <c r="L81" s="582"/>
      <c r="M81" s="588"/>
      <c r="N81" s="43"/>
      <c r="O81" s="43"/>
      <c r="P81" s="43"/>
      <c r="Q81" s="43"/>
      <c r="R81" s="43"/>
      <c r="S81" s="43"/>
    </row>
    <row r="82" spans="1:19" ht="12.75">
      <c r="A82" s="42">
        <v>9421569000</v>
      </c>
      <c r="B82" s="39" t="s">
        <v>992</v>
      </c>
      <c r="C82" t="s">
        <v>928</v>
      </c>
      <c r="D82" t="s">
        <v>1144</v>
      </c>
      <c r="F82" s="43"/>
      <c r="G82" s="43"/>
      <c r="H82" s="43"/>
      <c r="I82" s="43"/>
      <c r="J82" s="43"/>
      <c r="K82" s="586"/>
      <c r="L82" s="582"/>
      <c r="M82" s="588"/>
      <c r="N82" s="43"/>
      <c r="O82" s="43"/>
      <c r="P82" s="43"/>
      <c r="Q82" s="43"/>
      <c r="R82" s="43"/>
      <c r="S82" s="43"/>
    </row>
    <row r="83" spans="1:19" ht="12.75">
      <c r="A83" s="42">
        <v>9421595000</v>
      </c>
      <c r="B83" s="39" t="s">
        <v>993</v>
      </c>
      <c r="C83" t="s">
        <v>928</v>
      </c>
      <c r="D83" t="s">
        <v>1145</v>
      </c>
      <c r="F83" s="43"/>
      <c r="G83" s="43"/>
      <c r="H83" s="43"/>
      <c r="I83" s="43"/>
      <c r="J83" s="43"/>
      <c r="K83" s="586"/>
      <c r="L83" s="582"/>
      <c r="M83" s="588"/>
      <c r="N83" s="43"/>
      <c r="O83" s="43"/>
      <c r="P83" s="43"/>
      <c r="Q83" s="43"/>
      <c r="R83" s="43"/>
      <c r="S83" s="43"/>
    </row>
    <row r="84" spans="1:19" ht="12.75">
      <c r="A84" s="41">
        <v>9421561000</v>
      </c>
      <c r="B84" s="39" t="s">
        <v>980</v>
      </c>
      <c r="C84" t="s">
        <v>928</v>
      </c>
      <c r="D84" t="s">
        <v>1146</v>
      </c>
      <c r="E84" s="888" t="s">
        <v>984</v>
      </c>
      <c r="F84" s="296"/>
      <c r="G84" s="296"/>
      <c r="H84" s="296"/>
      <c r="I84" s="296"/>
      <c r="J84" s="296"/>
      <c r="K84" s="586"/>
      <c r="L84" s="582"/>
      <c r="M84" s="588"/>
      <c r="N84" s="43"/>
      <c r="O84" s="43"/>
      <c r="P84" s="43"/>
      <c r="Q84" s="43"/>
      <c r="R84" s="43"/>
      <c r="S84" s="43"/>
    </row>
    <row r="85" spans="1:19" ht="12.75">
      <c r="A85" s="41">
        <v>9421645000</v>
      </c>
      <c r="B85" s="40" t="s">
        <v>981</v>
      </c>
      <c r="C85" t="s">
        <v>928</v>
      </c>
      <c r="D85" t="s">
        <v>1147</v>
      </c>
      <c r="E85" s="888"/>
      <c r="F85" s="296"/>
      <c r="G85" s="296"/>
      <c r="H85" s="296"/>
      <c r="I85" s="296"/>
      <c r="J85" s="296"/>
      <c r="K85" s="586"/>
      <c r="L85" s="582"/>
      <c r="M85" s="588"/>
      <c r="N85" s="43"/>
      <c r="O85" s="43"/>
      <c r="P85" s="43"/>
      <c r="Q85" s="43"/>
      <c r="R85" s="43"/>
      <c r="S85" s="43"/>
    </row>
    <row r="86" spans="1:19" ht="12.75">
      <c r="A86" s="41">
        <v>9421669000</v>
      </c>
      <c r="B86" s="40" t="s">
        <v>982</v>
      </c>
      <c r="C86" t="s">
        <v>928</v>
      </c>
      <c r="D86" t="s">
        <v>1148</v>
      </c>
      <c r="E86" s="888"/>
      <c r="F86" s="296"/>
      <c r="G86" s="296"/>
      <c r="H86" s="296"/>
      <c r="I86" s="296"/>
      <c r="J86" s="296"/>
      <c r="K86" s="586"/>
      <c r="L86" s="582"/>
      <c r="M86" s="588"/>
      <c r="N86" s="43"/>
      <c r="O86" s="43"/>
      <c r="P86" s="43"/>
      <c r="Q86" s="43"/>
      <c r="R86" s="43"/>
      <c r="S86" s="43"/>
    </row>
    <row r="87" spans="1:19" ht="12.75">
      <c r="A87" s="41">
        <v>9421668000</v>
      </c>
      <c r="B87" s="40" t="s">
        <v>983</v>
      </c>
      <c r="C87" t="s">
        <v>928</v>
      </c>
      <c r="D87" t="s">
        <v>1149</v>
      </c>
      <c r="E87" s="888"/>
      <c r="F87" s="296"/>
      <c r="G87" s="296"/>
      <c r="H87" s="296"/>
      <c r="I87" s="296"/>
      <c r="J87" s="296"/>
      <c r="K87" s="586"/>
      <c r="L87" s="582"/>
      <c r="M87" s="588"/>
      <c r="N87" s="43"/>
      <c r="O87" s="43"/>
      <c r="P87" s="43"/>
      <c r="Q87" s="43"/>
      <c r="R87" s="43"/>
      <c r="S87" s="43"/>
    </row>
    <row r="88" spans="1:19" ht="12.75">
      <c r="A88" s="41">
        <v>9421571000</v>
      </c>
      <c r="B88" s="40" t="s">
        <v>995</v>
      </c>
      <c r="C88" t="s">
        <v>928</v>
      </c>
      <c r="D88" t="s">
        <v>1150</v>
      </c>
      <c r="E88" s="884" t="s">
        <v>999</v>
      </c>
      <c r="F88" s="296"/>
      <c r="G88" s="296"/>
      <c r="H88" s="296"/>
      <c r="I88" s="296"/>
      <c r="J88" s="296"/>
      <c r="K88" s="586"/>
      <c r="L88" s="585"/>
      <c r="M88" s="584"/>
      <c r="N88" s="43"/>
      <c r="O88" s="43"/>
      <c r="P88" s="43"/>
      <c r="Q88" s="43"/>
      <c r="R88" s="43"/>
      <c r="S88" s="43"/>
    </row>
    <row r="89" spans="1:19" ht="12.75">
      <c r="A89" s="41">
        <v>9261328000</v>
      </c>
      <c r="B89" s="40" t="s">
        <v>996</v>
      </c>
      <c r="C89" t="s">
        <v>928</v>
      </c>
      <c r="D89" t="s">
        <v>1151</v>
      </c>
      <c r="E89" s="884"/>
      <c r="F89" s="296"/>
      <c r="G89" s="296"/>
      <c r="H89" s="296"/>
      <c r="I89" s="296"/>
      <c r="J89" s="296"/>
      <c r="K89" s="586"/>
      <c r="L89" s="582"/>
      <c r="M89" s="588"/>
      <c r="N89" s="43"/>
      <c r="O89" s="43"/>
      <c r="P89" s="43"/>
      <c r="Q89" s="43"/>
      <c r="R89" s="43"/>
      <c r="S89" s="43"/>
    </row>
    <row r="90" spans="1:19" ht="12.75">
      <c r="A90" s="41">
        <v>9262060000</v>
      </c>
      <c r="B90" s="40" t="s">
        <v>997</v>
      </c>
      <c r="C90" t="s">
        <v>928</v>
      </c>
      <c r="D90" t="s">
        <v>1152</v>
      </c>
      <c r="E90" s="884"/>
      <c r="F90" s="296"/>
      <c r="G90" s="296"/>
      <c r="H90" s="296"/>
      <c r="I90" s="296"/>
      <c r="J90" s="296"/>
      <c r="K90" s="586"/>
      <c r="L90" s="582"/>
      <c r="M90" s="588"/>
      <c r="N90" s="43"/>
      <c r="O90" s="43"/>
      <c r="P90" s="43"/>
      <c r="Q90" s="43"/>
      <c r="R90" s="43"/>
      <c r="S90" s="43"/>
    </row>
    <row r="91" spans="1:19" ht="12.75">
      <c r="A91" s="41">
        <v>9281836000</v>
      </c>
      <c r="B91" s="40" t="s">
        <v>998</v>
      </c>
      <c r="C91" t="s">
        <v>928</v>
      </c>
      <c r="D91" t="s">
        <v>1153</v>
      </c>
      <c r="E91" s="884"/>
      <c r="F91" s="296"/>
      <c r="G91" s="296"/>
      <c r="H91" s="296"/>
      <c r="I91" s="296"/>
      <c r="J91" s="296"/>
      <c r="K91" s="586"/>
      <c r="L91" s="582"/>
      <c r="M91" s="588"/>
      <c r="N91" s="43"/>
      <c r="O91" s="43"/>
      <c r="P91" s="43"/>
      <c r="Q91" s="43"/>
      <c r="R91" s="43"/>
      <c r="S91" s="43"/>
    </row>
    <row r="92" spans="1:19" ht="12.75">
      <c r="A92" s="41">
        <v>9511454000</v>
      </c>
      <c r="B92" s="40" t="s">
        <v>1000</v>
      </c>
      <c r="C92" t="s">
        <v>928</v>
      </c>
      <c r="D92" t="s">
        <v>1154</v>
      </c>
      <c r="F92" s="43"/>
      <c r="G92" s="43"/>
      <c r="H92" s="43"/>
      <c r="I92" s="43"/>
      <c r="J92" s="43"/>
      <c r="K92" s="586"/>
      <c r="L92" s="582"/>
      <c r="M92" s="588"/>
      <c r="N92" s="43"/>
      <c r="O92" s="43"/>
      <c r="P92" s="43"/>
      <c r="Q92" s="43"/>
      <c r="R92" s="43"/>
      <c r="S92" s="43"/>
    </row>
    <row r="93" spans="1:19" ht="12.75">
      <c r="A93" s="41">
        <v>9502277000</v>
      </c>
      <c r="B93" s="40" t="s">
        <v>1036</v>
      </c>
      <c r="C93" s="43" t="s">
        <v>928</v>
      </c>
      <c r="D93" t="s">
        <v>1155</v>
      </c>
      <c r="F93" s="43"/>
      <c r="G93" s="43"/>
      <c r="H93" s="43"/>
      <c r="I93" s="43"/>
      <c r="J93" s="43"/>
      <c r="K93" s="586"/>
      <c r="L93" s="582"/>
      <c r="M93" s="588"/>
      <c r="N93" s="43"/>
      <c r="O93" s="43"/>
      <c r="P93" s="43"/>
      <c r="Q93" s="43"/>
      <c r="R93" s="43"/>
      <c r="S93" s="43"/>
    </row>
    <row r="94" spans="1:19" ht="12.75">
      <c r="A94" s="41">
        <v>9502176000</v>
      </c>
      <c r="B94" s="40" t="s">
        <v>1035</v>
      </c>
      <c r="C94" s="43" t="s">
        <v>928</v>
      </c>
      <c r="D94" t="s">
        <v>1156</v>
      </c>
      <c r="F94" s="43"/>
      <c r="G94" s="43"/>
      <c r="H94" s="43"/>
      <c r="I94" s="43"/>
      <c r="J94" s="43"/>
      <c r="K94" s="586"/>
      <c r="L94" s="585"/>
      <c r="M94" s="584"/>
      <c r="N94" s="43"/>
      <c r="O94" s="43"/>
      <c r="P94" s="43"/>
      <c r="Q94" s="43"/>
      <c r="R94" s="43"/>
      <c r="S94" s="43"/>
    </row>
    <row r="95" spans="1:19" ht="12.75">
      <c r="A95" s="41">
        <v>9206065000</v>
      </c>
      <c r="B95" s="40" t="s">
        <v>1001</v>
      </c>
      <c r="C95" s="43" t="s">
        <v>1063</v>
      </c>
      <c r="D95" t="s">
        <v>1157</v>
      </c>
      <c r="F95" s="43"/>
      <c r="G95" s="43"/>
      <c r="H95" s="43"/>
      <c r="I95" s="43"/>
      <c r="J95" s="43"/>
      <c r="K95" s="586"/>
      <c r="L95" s="582"/>
      <c r="M95" s="588"/>
      <c r="N95" s="43"/>
      <c r="O95" s="43"/>
      <c r="P95" s="43"/>
      <c r="Q95" s="43"/>
      <c r="R95" s="43"/>
      <c r="S95" s="43"/>
    </row>
    <row r="96" spans="1:19" ht="12.75">
      <c r="A96" s="41">
        <v>9206066000</v>
      </c>
      <c r="B96" s="40" t="s">
        <v>1002</v>
      </c>
      <c r="C96" s="43" t="s">
        <v>1063</v>
      </c>
      <c r="D96" t="s">
        <v>1158</v>
      </c>
      <c r="F96" s="43"/>
      <c r="G96" s="43"/>
      <c r="H96" s="43"/>
      <c r="I96" s="43"/>
      <c r="J96" s="43"/>
      <c r="K96" s="586"/>
      <c r="L96" s="582"/>
      <c r="M96" s="588"/>
      <c r="N96" s="43"/>
      <c r="O96" s="43"/>
      <c r="P96" s="43"/>
      <c r="Q96" s="43"/>
      <c r="R96" s="43"/>
      <c r="S96" s="43"/>
    </row>
    <row r="97" spans="1:19" ht="12.75">
      <c r="A97" s="41">
        <v>9511358000</v>
      </c>
      <c r="B97" s="40" t="s">
        <v>1003</v>
      </c>
      <c r="C97" s="43" t="s">
        <v>928</v>
      </c>
      <c r="D97" t="s">
        <v>1159</v>
      </c>
      <c r="F97" s="43"/>
      <c r="G97" s="43"/>
      <c r="H97" s="43"/>
      <c r="I97" s="43"/>
      <c r="J97" s="43"/>
      <c r="K97" s="586"/>
      <c r="L97" s="585"/>
      <c r="M97" s="584"/>
      <c r="N97" s="43"/>
      <c r="O97" s="43"/>
      <c r="P97" s="43"/>
      <c r="Q97" s="43"/>
      <c r="R97" s="43"/>
      <c r="S97" s="43"/>
    </row>
    <row r="98" spans="1:19" ht="12.75">
      <c r="A98" s="41">
        <v>9262106000</v>
      </c>
      <c r="B98" s="40" t="s">
        <v>1004</v>
      </c>
      <c r="C98" s="43" t="s">
        <v>928</v>
      </c>
      <c r="D98" t="s">
        <v>1160</v>
      </c>
      <c r="F98" s="43"/>
      <c r="G98" s="43"/>
      <c r="H98" s="43"/>
      <c r="I98" s="43"/>
      <c r="J98" s="43"/>
      <c r="K98" s="586"/>
      <c r="L98" s="582"/>
      <c r="M98" s="588"/>
      <c r="N98" s="43"/>
      <c r="O98" s="43"/>
      <c r="P98" s="43"/>
      <c r="Q98" s="43"/>
      <c r="R98" s="43"/>
      <c r="S98" s="43"/>
    </row>
    <row r="99" spans="1:19" ht="12.75">
      <c r="A99" s="41">
        <v>9262105000</v>
      </c>
      <c r="B99" s="40" t="s">
        <v>1005</v>
      </c>
      <c r="C99" s="43" t="s">
        <v>928</v>
      </c>
      <c r="D99" t="s">
        <v>1161</v>
      </c>
      <c r="E99" s="43"/>
      <c r="F99" s="43"/>
      <c r="G99" s="43"/>
      <c r="H99" s="43"/>
      <c r="I99" s="43"/>
      <c r="J99" s="43"/>
      <c r="K99" s="586"/>
      <c r="L99" s="582"/>
      <c r="M99" s="588"/>
      <c r="N99" s="43"/>
      <c r="O99" s="43"/>
      <c r="P99" s="43"/>
      <c r="Q99" s="43"/>
      <c r="R99" s="43"/>
      <c r="S99" s="43"/>
    </row>
    <row r="100" spans="1:19" ht="12.75">
      <c r="A100" s="41">
        <v>9262107000</v>
      </c>
      <c r="B100" s="40" t="s">
        <v>1006</v>
      </c>
      <c r="C100" s="43" t="s">
        <v>928</v>
      </c>
      <c r="D100" t="s">
        <v>1162</v>
      </c>
      <c r="E100" s="43"/>
      <c r="F100" s="43"/>
      <c r="G100" s="43"/>
      <c r="H100" s="43"/>
      <c r="I100" s="43"/>
      <c r="J100" s="43"/>
      <c r="K100" s="586"/>
      <c r="L100" s="582"/>
      <c r="M100" s="588"/>
      <c r="N100" s="43"/>
      <c r="O100" s="43"/>
      <c r="P100" s="43"/>
      <c r="Q100" s="43"/>
      <c r="R100" s="43"/>
      <c r="S100" s="43"/>
    </row>
    <row r="101" spans="1:19" ht="12.75">
      <c r="A101" s="41">
        <v>9262108000</v>
      </c>
      <c r="B101" s="40" t="s">
        <v>1013</v>
      </c>
      <c r="C101" s="43" t="s">
        <v>928</v>
      </c>
      <c r="D101" t="s">
        <v>1163</v>
      </c>
      <c r="E101" s="43"/>
      <c r="F101" s="43"/>
      <c r="G101" s="43"/>
      <c r="H101" s="43"/>
      <c r="I101" s="43"/>
      <c r="J101" s="43"/>
      <c r="K101" s="586"/>
      <c r="L101" s="582"/>
      <c r="M101" s="588"/>
      <c r="N101" s="43"/>
      <c r="O101" s="43"/>
      <c r="P101" s="43"/>
      <c r="Q101" s="43"/>
      <c r="R101" s="43"/>
      <c r="S101" s="43"/>
    </row>
    <row r="102" spans="1:19" ht="12.75">
      <c r="A102" s="41">
        <v>9012113000</v>
      </c>
      <c r="B102" s="40" t="s">
        <v>1007</v>
      </c>
      <c r="C102" s="43" t="s">
        <v>928</v>
      </c>
      <c r="D102" t="s">
        <v>1164</v>
      </c>
      <c r="F102" s="43"/>
      <c r="G102" s="43"/>
      <c r="H102" s="43"/>
      <c r="I102" s="43"/>
      <c r="J102" s="43"/>
      <c r="K102" s="586"/>
      <c r="L102" s="582"/>
      <c r="M102" s="588"/>
      <c r="N102" s="43"/>
      <c r="O102" s="43"/>
      <c r="P102" s="43"/>
      <c r="Q102" s="43"/>
      <c r="R102" s="43"/>
      <c r="S102" s="43"/>
    </row>
    <row r="103" spans="1:19" ht="12.75">
      <c r="A103" s="41">
        <v>9231067000</v>
      </c>
      <c r="B103" s="40" t="s">
        <v>1009</v>
      </c>
      <c r="C103" s="43" t="s">
        <v>1063</v>
      </c>
      <c r="D103" t="s">
        <v>1165</v>
      </c>
      <c r="E103" t="s">
        <v>1011</v>
      </c>
      <c r="F103" s="43"/>
      <c r="G103" s="43"/>
      <c r="H103" s="43"/>
      <c r="I103" s="43"/>
      <c r="J103" s="43"/>
      <c r="K103" s="586"/>
      <c r="L103" s="582"/>
      <c r="M103" s="588"/>
      <c r="N103" s="43"/>
      <c r="O103" s="43"/>
      <c r="P103" s="43"/>
      <c r="Q103" s="43"/>
      <c r="R103" s="43"/>
      <c r="S103" s="43"/>
    </row>
    <row r="104" spans="1:19" ht="12.75">
      <c r="A104" s="41">
        <v>9231004000</v>
      </c>
      <c r="B104" s="40" t="s">
        <v>1010</v>
      </c>
      <c r="C104" s="43" t="s">
        <v>1063</v>
      </c>
      <c r="D104" t="s">
        <v>1166</v>
      </c>
      <c r="E104" t="s">
        <v>1012</v>
      </c>
      <c r="F104" s="43"/>
      <c r="G104" s="43"/>
      <c r="H104" s="43"/>
      <c r="I104" s="43"/>
      <c r="J104" s="43"/>
      <c r="K104" s="586"/>
      <c r="L104" s="582"/>
      <c r="M104" s="588"/>
      <c r="N104" s="43"/>
      <c r="O104" s="43"/>
      <c r="P104" s="43"/>
      <c r="Q104" s="43"/>
      <c r="R104" s="43"/>
      <c r="S104" s="43"/>
    </row>
    <row r="105" spans="1:19" ht="12.75">
      <c r="A105" s="41">
        <v>9231064000</v>
      </c>
      <c r="B105" s="40" t="s">
        <v>1014</v>
      </c>
      <c r="C105" s="43" t="s">
        <v>1063</v>
      </c>
      <c r="D105" t="s">
        <v>1167</v>
      </c>
      <c r="E105" s="43" t="s">
        <v>1008</v>
      </c>
      <c r="F105" s="43"/>
      <c r="G105" s="43"/>
      <c r="H105" s="43"/>
      <c r="I105" s="43"/>
      <c r="J105" s="43"/>
      <c r="K105" s="586"/>
      <c r="L105" s="582"/>
      <c r="M105" s="588"/>
      <c r="N105" s="43"/>
      <c r="O105" s="43"/>
      <c r="P105" s="43"/>
      <c r="Q105" s="43"/>
      <c r="R105" s="43"/>
      <c r="S105" s="43"/>
    </row>
    <row r="106" spans="1:19" ht="12.75">
      <c r="A106" s="41">
        <v>9806008000</v>
      </c>
      <c r="B106" s="40" t="s">
        <v>1016</v>
      </c>
      <c r="C106" s="43" t="s">
        <v>928</v>
      </c>
      <c r="D106" t="s">
        <v>1168</v>
      </c>
      <c r="E106" s="43" t="s">
        <v>1018</v>
      </c>
      <c r="F106" s="43"/>
      <c r="G106" s="43"/>
      <c r="H106" s="43"/>
      <c r="I106" s="43"/>
      <c r="J106" s="43"/>
      <c r="K106" s="586"/>
      <c r="L106" s="585"/>
      <c r="M106" s="584"/>
      <c r="N106" s="43"/>
      <c r="O106" s="43"/>
      <c r="P106" s="43"/>
      <c r="Q106" s="43"/>
      <c r="R106" s="43"/>
      <c r="S106" s="43"/>
    </row>
    <row r="107" spans="1:19" ht="12.75">
      <c r="A107" s="41">
        <v>9806017000</v>
      </c>
      <c r="B107" s="40" t="s">
        <v>1017</v>
      </c>
      <c r="C107" s="43" t="s">
        <v>928</v>
      </c>
      <c r="D107" t="s">
        <v>1169</v>
      </c>
      <c r="E107" s="43" t="s">
        <v>1018</v>
      </c>
      <c r="F107" s="43"/>
      <c r="G107" s="43"/>
      <c r="H107" s="43"/>
      <c r="I107" s="43"/>
      <c r="J107" s="43"/>
      <c r="K107" s="586"/>
      <c r="L107" s="585"/>
      <c r="M107" s="584"/>
      <c r="N107" s="43"/>
      <c r="O107" s="43"/>
      <c r="P107" s="43"/>
      <c r="Q107" s="43"/>
      <c r="R107" s="43"/>
      <c r="S107" s="43"/>
    </row>
    <row r="108" spans="1:19" ht="12.75">
      <c r="A108" s="41">
        <v>9806113000</v>
      </c>
      <c r="B108" s="40" t="s">
        <v>1019</v>
      </c>
      <c r="C108" s="43" t="s">
        <v>928</v>
      </c>
      <c r="D108" t="s">
        <v>1170</v>
      </c>
      <c r="F108" s="43"/>
      <c r="G108" s="43"/>
      <c r="H108" s="43"/>
      <c r="I108" s="43"/>
      <c r="J108" s="43"/>
      <c r="K108" s="586"/>
      <c r="L108" s="585"/>
      <c r="M108" s="584"/>
      <c r="N108" s="43"/>
      <c r="O108" s="43"/>
      <c r="P108" s="43"/>
      <c r="Q108" s="43"/>
      <c r="R108" s="43"/>
      <c r="S108" s="43"/>
    </row>
    <row r="109" spans="1:19" ht="12.75">
      <c r="A109" s="41">
        <v>9806114000</v>
      </c>
      <c r="B109" s="40" t="s">
        <v>1020</v>
      </c>
      <c r="C109" s="43" t="s">
        <v>928</v>
      </c>
      <c r="D109" t="s">
        <v>1171</v>
      </c>
      <c r="F109" s="43"/>
      <c r="G109" s="43"/>
      <c r="H109" s="43"/>
      <c r="I109" s="43"/>
      <c r="J109" s="43"/>
      <c r="K109" s="586"/>
      <c r="L109" s="585"/>
      <c r="M109" s="584"/>
      <c r="N109" s="43"/>
      <c r="O109" s="43"/>
      <c r="P109" s="43"/>
      <c r="Q109" s="43"/>
      <c r="R109" s="43"/>
      <c r="S109" s="43"/>
    </row>
    <row r="110" spans="1:19" ht="12.75">
      <c r="A110" s="41">
        <v>9806013000</v>
      </c>
      <c r="B110" s="40" t="s">
        <v>1021</v>
      </c>
      <c r="C110" s="43" t="s">
        <v>928</v>
      </c>
      <c r="D110" t="s">
        <v>1172</v>
      </c>
      <c r="F110" s="43"/>
      <c r="G110" s="43"/>
      <c r="H110" s="43"/>
      <c r="I110" s="43"/>
      <c r="J110" s="43"/>
      <c r="K110" s="586"/>
      <c r="L110" s="585"/>
      <c r="M110" s="584"/>
      <c r="N110" s="43"/>
      <c r="O110" s="43"/>
      <c r="P110" s="43"/>
      <c r="Q110" s="43"/>
      <c r="R110" s="43"/>
      <c r="S110" s="43"/>
    </row>
    <row r="111" spans="1:19" ht="12.75">
      <c r="A111" s="41">
        <v>9806112000</v>
      </c>
      <c r="B111" s="40" t="s">
        <v>1022</v>
      </c>
      <c r="C111" s="43" t="s">
        <v>928</v>
      </c>
      <c r="D111" t="s">
        <v>1173</v>
      </c>
      <c r="F111" s="43"/>
      <c r="G111" s="43"/>
      <c r="H111" s="43"/>
      <c r="I111" s="43"/>
      <c r="J111" s="43"/>
      <c r="K111" s="586"/>
      <c r="L111" s="585"/>
      <c r="M111" s="584"/>
      <c r="N111" s="43"/>
      <c r="O111" s="43"/>
      <c r="P111" s="43"/>
      <c r="Q111" s="43"/>
      <c r="R111" s="43"/>
      <c r="S111" s="43"/>
    </row>
    <row r="112" spans="1:19" ht="12.75">
      <c r="A112" s="41">
        <v>9806006000</v>
      </c>
      <c r="B112" s="40" t="s">
        <v>1027</v>
      </c>
      <c r="C112" s="43" t="s">
        <v>928</v>
      </c>
      <c r="D112" t="s">
        <v>1174</v>
      </c>
      <c r="E112" t="s">
        <v>1029</v>
      </c>
      <c r="F112" s="43"/>
      <c r="G112" s="43"/>
      <c r="H112" s="43"/>
      <c r="I112" s="43"/>
      <c r="J112" s="43"/>
      <c r="K112" s="586"/>
      <c r="L112" s="585"/>
      <c r="M112" s="584"/>
      <c r="N112" s="43"/>
      <c r="O112" s="43"/>
      <c r="P112" s="43"/>
      <c r="Q112" s="43"/>
      <c r="R112" s="43"/>
      <c r="S112" s="43"/>
    </row>
    <row r="113" spans="1:19" ht="12.75">
      <c r="A113" s="41">
        <v>9806007000</v>
      </c>
      <c r="B113" s="40" t="s">
        <v>1028</v>
      </c>
      <c r="C113" s="43" t="s">
        <v>928</v>
      </c>
      <c r="D113" t="s">
        <v>1175</v>
      </c>
      <c r="E113" t="s">
        <v>1029</v>
      </c>
      <c r="F113" s="43"/>
      <c r="G113" s="43"/>
      <c r="H113" s="43"/>
      <c r="I113" s="43"/>
      <c r="J113" s="43"/>
      <c r="K113" s="586"/>
      <c r="L113" s="585"/>
      <c r="M113" s="584"/>
      <c r="N113" s="43"/>
      <c r="O113" s="43"/>
      <c r="P113" s="43"/>
      <c r="Q113" s="43"/>
      <c r="R113" s="43"/>
      <c r="S113" s="43"/>
    </row>
    <row r="114" spans="1:19" ht="12.75">
      <c r="A114" s="41">
        <v>9640251000</v>
      </c>
      <c r="B114" s="40" t="s">
        <v>1030</v>
      </c>
      <c r="C114" s="43" t="s">
        <v>928</v>
      </c>
      <c r="D114" t="s">
        <v>1176</v>
      </c>
      <c r="F114" s="43"/>
      <c r="G114" s="43"/>
      <c r="H114" s="43"/>
      <c r="I114" s="43"/>
      <c r="J114" s="43"/>
      <c r="K114" s="586"/>
      <c r="L114" s="582"/>
      <c r="M114" s="588"/>
      <c r="N114" s="43"/>
      <c r="O114" s="43"/>
      <c r="P114" s="43"/>
      <c r="Q114" s="43"/>
      <c r="R114" s="43"/>
      <c r="S114" s="43"/>
    </row>
    <row r="115" spans="1:19" ht="12.75">
      <c r="A115" s="41">
        <v>9231082000</v>
      </c>
      <c r="B115" s="40" t="s">
        <v>1031</v>
      </c>
      <c r="C115" s="43" t="s">
        <v>928</v>
      </c>
      <c r="D115" t="s">
        <v>1177</v>
      </c>
      <c r="F115" s="43"/>
      <c r="G115" s="43"/>
      <c r="H115" s="43"/>
      <c r="I115" s="43"/>
      <c r="J115" s="43"/>
      <c r="K115" s="586"/>
      <c r="L115" s="582"/>
      <c r="M115" s="588"/>
      <c r="N115" s="43"/>
      <c r="O115" s="43"/>
      <c r="P115" s="43"/>
      <c r="Q115" s="43"/>
      <c r="R115" s="43"/>
      <c r="S115" s="43"/>
    </row>
    <row r="116" spans="1:19" ht="12.75">
      <c r="A116" s="41">
        <v>9261323000</v>
      </c>
      <c r="B116" s="40" t="s">
        <v>1033</v>
      </c>
      <c r="C116" s="43" t="s">
        <v>928</v>
      </c>
      <c r="D116" t="s">
        <v>1178</v>
      </c>
      <c r="F116" s="43"/>
      <c r="G116" s="43"/>
      <c r="H116" s="43"/>
      <c r="I116" s="43"/>
      <c r="J116" s="43"/>
      <c r="K116" s="586"/>
      <c r="L116" s="582"/>
      <c r="M116" s="588"/>
      <c r="N116" s="43"/>
      <c r="O116" s="43"/>
      <c r="P116" s="43"/>
      <c r="Q116" s="43"/>
      <c r="R116" s="43"/>
      <c r="S116" s="43"/>
    </row>
    <row r="117" spans="1:19" ht="12.75">
      <c r="A117" s="41">
        <v>9262006000</v>
      </c>
      <c r="B117" s="40" t="s">
        <v>1034</v>
      </c>
      <c r="C117" s="43" t="s">
        <v>928</v>
      </c>
      <c r="D117" t="s">
        <v>1179</v>
      </c>
      <c r="F117" s="43"/>
      <c r="G117" s="43"/>
      <c r="H117" s="43"/>
      <c r="I117" s="43"/>
      <c r="J117" s="43"/>
      <c r="K117" s="586"/>
      <c r="L117" s="582"/>
      <c r="M117" s="588"/>
      <c r="N117" s="43"/>
      <c r="O117" s="43"/>
      <c r="P117" s="43"/>
      <c r="Q117" s="43"/>
      <c r="R117" s="43"/>
      <c r="S117" s="43"/>
    </row>
    <row r="118" spans="1:19" ht="12.75">
      <c r="A118" s="41">
        <v>9806373000</v>
      </c>
      <c r="B118" s="40" t="s">
        <v>38</v>
      </c>
      <c r="C118" s="43" t="s">
        <v>928</v>
      </c>
      <c r="D118" t="s">
        <v>39</v>
      </c>
      <c r="F118" s="43"/>
      <c r="G118" s="43"/>
      <c r="H118" s="43"/>
      <c r="I118" s="43"/>
      <c r="J118" s="43"/>
      <c r="K118" s="586"/>
      <c r="L118" s="585"/>
      <c r="M118" s="584"/>
      <c r="N118" s="43"/>
      <c r="O118" s="43"/>
      <c r="P118" s="43"/>
      <c r="Q118" s="43"/>
      <c r="R118" s="43"/>
      <c r="S118" s="43"/>
    </row>
    <row r="119" spans="1:19" ht="12.75">
      <c r="A119" s="41">
        <v>9640287000</v>
      </c>
      <c r="B119" s="40" t="s">
        <v>613</v>
      </c>
      <c r="C119" s="43" t="s">
        <v>928</v>
      </c>
      <c r="E119" s="883" t="s">
        <v>621</v>
      </c>
      <c r="F119" s="43"/>
      <c r="G119" s="43"/>
      <c r="H119" s="43"/>
      <c r="I119" s="43"/>
      <c r="J119" s="43"/>
      <c r="K119" s="586"/>
      <c r="L119" s="585"/>
      <c r="M119" s="584"/>
      <c r="N119" s="43"/>
      <c r="O119" s="43"/>
      <c r="P119" s="43"/>
      <c r="Q119" s="43"/>
      <c r="R119" s="43"/>
      <c r="S119" s="43"/>
    </row>
    <row r="120" spans="1:19" ht="12.75">
      <c r="A120" s="41">
        <v>9640288000</v>
      </c>
      <c r="B120" s="40" t="s">
        <v>614</v>
      </c>
      <c r="C120" s="43" t="s">
        <v>928</v>
      </c>
      <c r="E120" s="883"/>
      <c r="F120" s="43"/>
      <c r="G120" s="43"/>
      <c r="H120" s="43"/>
      <c r="I120" s="43"/>
      <c r="J120" s="43"/>
      <c r="K120" s="586"/>
      <c r="L120" s="585"/>
      <c r="M120" s="584"/>
      <c r="N120" s="43"/>
      <c r="O120" s="43"/>
      <c r="P120" s="43"/>
      <c r="Q120" s="43"/>
      <c r="R120" s="43"/>
      <c r="S120" s="43"/>
    </row>
    <row r="121" spans="1:19" ht="18" customHeight="1">
      <c r="A121" s="41">
        <v>9640289000</v>
      </c>
      <c r="B121" s="40" t="s">
        <v>615</v>
      </c>
      <c r="C121" s="43" t="s">
        <v>928</v>
      </c>
      <c r="E121" s="883"/>
      <c r="F121" s="43"/>
      <c r="G121" s="43"/>
      <c r="H121" s="43"/>
      <c r="I121" s="43"/>
      <c r="J121" s="43"/>
      <c r="K121" s="586"/>
      <c r="L121" s="585"/>
      <c r="M121" s="584"/>
      <c r="N121" s="43"/>
      <c r="O121" s="43"/>
      <c r="P121" s="43"/>
      <c r="Q121" s="43"/>
      <c r="R121" s="43"/>
      <c r="S121" s="43"/>
    </row>
    <row r="122" spans="1:19" ht="18" customHeight="1">
      <c r="A122" s="41">
        <v>9640290000</v>
      </c>
      <c r="B122" s="40" t="s">
        <v>616</v>
      </c>
      <c r="C122" s="43" t="s">
        <v>928</v>
      </c>
      <c r="E122" s="883"/>
      <c r="F122" s="43"/>
      <c r="G122" s="43"/>
      <c r="H122" s="43"/>
      <c r="I122" s="43"/>
      <c r="J122" s="43"/>
      <c r="K122" s="586"/>
      <c r="L122" s="585"/>
      <c r="M122" s="584"/>
      <c r="N122" s="43"/>
      <c r="O122" s="43"/>
      <c r="P122" s="43"/>
      <c r="Q122" s="43"/>
      <c r="R122" s="43"/>
      <c r="S122" s="43"/>
    </row>
    <row r="123" spans="1:19" ht="18" customHeight="1">
      <c r="A123" s="41">
        <v>9640291000</v>
      </c>
      <c r="B123" s="40" t="s">
        <v>617</v>
      </c>
      <c r="C123" s="43" t="s">
        <v>928</v>
      </c>
      <c r="E123" s="883"/>
      <c r="F123" s="43"/>
      <c r="G123" s="43"/>
      <c r="H123" s="43"/>
      <c r="I123" s="43"/>
      <c r="J123" s="43"/>
      <c r="K123" s="586"/>
      <c r="L123" s="585"/>
      <c r="M123" s="584"/>
      <c r="N123" s="43"/>
      <c r="O123" s="43"/>
      <c r="P123" s="43"/>
      <c r="Q123" s="43"/>
      <c r="R123" s="43"/>
      <c r="S123" s="43"/>
    </row>
    <row r="124" spans="1:19" ht="18" customHeight="1">
      <c r="A124" s="41">
        <v>9640292000</v>
      </c>
      <c r="B124" s="40" t="s">
        <v>618</v>
      </c>
      <c r="C124" s="43" t="s">
        <v>928</v>
      </c>
      <c r="E124" s="883"/>
      <c r="F124" s="43"/>
      <c r="G124" s="43"/>
      <c r="H124" s="43"/>
      <c r="I124" s="43"/>
      <c r="J124" s="43"/>
      <c r="K124" s="586"/>
      <c r="L124" s="585"/>
      <c r="M124" s="584"/>
      <c r="N124" s="43"/>
      <c r="O124" s="43"/>
      <c r="P124" s="43"/>
      <c r="Q124" s="43"/>
      <c r="R124" s="43"/>
      <c r="S124" s="43"/>
    </row>
    <row r="125" spans="1:19" ht="18" customHeight="1">
      <c r="A125" s="41">
        <v>9640293000</v>
      </c>
      <c r="B125" s="40" t="s">
        <v>619</v>
      </c>
      <c r="C125" s="43" t="s">
        <v>928</v>
      </c>
      <c r="E125" s="883"/>
      <c r="F125" s="43"/>
      <c r="G125" s="43"/>
      <c r="H125" s="43"/>
      <c r="I125" s="43"/>
      <c r="J125" s="43"/>
      <c r="K125" s="586"/>
      <c r="L125" s="585"/>
      <c r="M125" s="584"/>
      <c r="N125" s="43"/>
      <c r="O125" s="43"/>
      <c r="P125" s="43"/>
      <c r="Q125" s="43"/>
      <c r="R125" s="43"/>
      <c r="S125" s="43"/>
    </row>
    <row r="126" spans="6:19" ht="12.75">
      <c r="F126" s="43"/>
      <c r="G126" s="43"/>
      <c r="H126" s="43"/>
      <c r="I126" s="43"/>
      <c r="J126" s="43"/>
      <c r="L126" s="583"/>
      <c r="M126" s="572"/>
      <c r="N126" s="43"/>
      <c r="O126" s="43"/>
      <c r="P126" s="43"/>
      <c r="Q126" s="43"/>
      <c r="R126" s="43"/>
      <c r="S126" s="43"/>
    </row>
    <row r="127" spans="6:19" ht="12.75">
      <c r="F127" s="43"/>
      <c r="G127" s="43"/>
      <c r="H127" s="43"/>
      <c r="I127" s="43"/>
      <c r="J127" s="43"/>
      <c r="L127" s="583"/>
      <c r="M127" s="572"/>
      <c r="N127" s="43"/>
      <c r="O127" s="43"/>
      <c r="P127" s="43"/>
      <c r="Q127" s="43"/>
      <c r="R127" s="43"/>
      <c r="S127" s="43"/>
    </row>
    <row r="128" spans="6:19" ht="12.75">
      <c r="F128" s="43"/>
      <c r="G128" s="43"/>
      <c r="H128" s="43"/>
      <c r="I128" s="43"/>
      <c r="J128" s="43"/>
      <c r="L128" s="583"/>
      <c r="M128" s="572"/>
      <c r="N128" s="43"/>
      <c r="O128" s="43"/>
      <c r="P128" s="43"/>
      <c r="Q128" s="43"/>
      <c r="R128" s="43"/>
      <c r="S128" s="43"/>
    </row>
    <row r="129" spans="6:19" ht="12.75">
      <c r="F129" s="43"/>
      <c r="G129" s="43"/>
      <c r="H129" s="43"/>
      <c r="I129" s="43"/>
      <c r="J129" s="43"/>
      <c r="L129" s="583"/>
      <c r="M129" s="572"/>
      <c r="N129" s="43"/>
      <c r="O129" s="43"/>
      <c r="P129" s="43"/>
      <c r="Q129" s="43"/>
      <c r="R129" s="43"/>
      <c r="S129" s="43"/>
    </row>
    <row r="130" spans="6:19" ht="12.75">
      <c r="F130" s="43"/>
      <c r="G130" s="43"/>
      <c r="H130" s="43"/>
      <c r="I130" s="43"/>
      <c r="J130" s="43"/>
      <c r="L130" s="583"/>
      <c r="M130" s="572"/>
      <c r="N130" s="43"/>
      <c r="O130" s="43"/>
      <c r="P130" s="43"/>
      <c r="Q130" s="43"/>
      <c r="R130" s="43"/>
      <c r="S130" s="43"/>
    </row>
    <row r="131" spans="12:19" ht="12.75">
      <c r="L131" s="583"/>
      <c r="M131" s="572"/>
      <c r="N131" s="43"/>
      <c r="O131" s="43"/>
      <c r="P131" s="43"/>
      <c r="Q131" s="43"/>
      <c r="R131" s="43"/>
      <c r="S131" s="43"/>
    </row>
    <row r="132" spans="12:19" ht="12.75">
      <c r="L132" s="583"/>
      <c r="M132" s="572"/>
      <c r="N132" s="43"/>
      <c r="O132" s="43"/>
      <c r="P132" s="43"/>
      <c r="Q132" s="43"/>
      <c r="R132" s="43"/>
      <c r="S132" s="43"/>
    </row>
    <row r="133" spans="12:19" ht="12.75">
      <c r="L133" s="583"/>
      <c r="M133" s="572"/>
      <c r="N133" s="43"/>
      <c r="O133" s="43"/>
      <c r="P133" s="43"/>
      <c r="Q133" s="43"/>
      <c r="R133" s="43"/>
      <c r="S133" s="43"/>
    </row>
    <row r="134" spans="12:19" ht="12.75">
      <c r="L134" s="583"/>
      <c r="M134" s="572"/>
      <c r="N134" s="43"/>
      <c r="O134" s="43"/>
      <c r="P134" s="43"/>
      <c r="Q134" s="43"/>
      <c r="R134" s="43"/>
      <c r="S134" s="43"/>
    </row>
    <row r="135" spans="12:19" ht="12.75">
      <c r="L135" s="583"/>
      <c r="M135" s="572"/>
      <c r="N135" s="43"/>
      <c r="O135" s="43"/>
      <c r="P135" s="43"/>
      <c r="Q135" s="43"/>
      <c r="R135" s="43"/>
      <c r="S135" s="43"/>
    </row>
    <row r="136" spans="12:19" ht="12.75">
      <c r="L136" s="583"/>
      <c r="M136" s="572"/>
      <c r="N136" s="43"/>
      <c r="O136" s="43"/>
      <c r="P136" s="43"/>
      <c r="Q136" s="43"/>
      <c r="R136" s="43"/>
      <c r="S136" s="43"/>
    </row>
    <row r="137" spans="12:19" ht="12.75">
      <c r="L137" s="583"/>
      <c r="M137" s="572"/>
      <c r="N137" s="43"/>
      <c r="O137" s="43"/>
      <c r="P137" s="43"/>
      <c r="Q137" s="43"/>
      <c r="R137" s="43"/>
      <c r="S137" s="43"/>
    </row>
    <row r="138" spans="12:19" ht="12.75">
      <c r="L138" s="583"/>
      <c r="M138" s="572"/>
      <c r="N138" s="43"/>
      <c r="O138" s="43"/>
      <c r="P138" s="43"/>
      <c r="Q138" s="43"/>
      <c r="R138" s="43"/>
      <c r="S138" s="43"/>
    </row>
    <row r="139" spans="12:19" ht="12.75">
      <c r="L139" s="583"/>
      <c r="M139" s="572"/>
      <c r="N139" s="43"/>
      <c r="O139" s="43"/>
      <c r="P139" s="43"/>
      <c r="Q139" s="43"/>
      <c r="R139" s="43"/>
      <c r="S139" s="43"/>
    </row>
    <row r="140" spans="12:19" ht="12.75">
      <c r="L140" s="583"/>
      <c r="M140" s="572"/>
      <c r="N140" s="43"/>
      <c r="O140" s="43"/>
      <c r="P140" s="43"/>
      <c r="Q140" s="43"/>
      <c r="R140" s="43"/>
      <c r="S140" s="43"/>
    </row>
    <row r="141" spans="12:19" ht="12.75">
      <c r="L141" s="583"/>
      <c r="M141" s="572"/>
      <c r="N141" s="43"/>
      <c r="O141" s="43"/>
      <c r="P141" s="43"/>
      <c r="Q141" s="43"/>
      <c r="R141" s="43"/>
      <c r="S141" s="43"/>
    </row>
    <row r="142" spans="12:19" ht="12.75">
      <c r="L142" s="583"/>
      <c r="M142" s="572"/>
      <c r="N142" s="43"/>
      <c r="O142" s="43"/>
      <c r="P142" s="43"/>
      <c r="Q142" s="43"/>
      <c r="R142" s="43"/>
      <c r="S142" s="43"/>
    </row>
    <row r="143" spans="12:19" ht="12.75">
      <c r="L143" s="583"/>
      <c r="M143" s="572"/>
      <c r="N143" s="43"/>
      <c r="O143" s="43"/>
      <c r="P143" s="43"/>
      <c r="Q143" s="43"/>
      <c r="R143" s="43"/>
      <c r="S143" s="43"/>
    </row>
    <row r="144" spans="12:19" ht="12.75">
      <c r="L144" s="583"/>
      <c r="M144" s="572"/>
      <c r="N144" s="43"/>
      <c r="O144" s="43"/>
      <c r="P144" s="43"/>
      <c r="Q144" s="43"/>
      <c r="R144" s="43"/>
      <c r="S144" s="43"/>
    </row>
    <row r="145" spans="12:19" ht="12.75">
      <c r="L145" s="583"/>
      <c r="M145" s="572"/>
      <c r="N145" s="43"/>
      <c r="O145" s="43"/>
      <c r="P145" s="43"/>
      <c r="Q145" s="43"/>
      <c r="R145" s="43"/>
      <c r="S145" s="43"/>
    </row>
    <row r="146" spans="12:19" ht="12.75">
      <c r="L146" s="583"/>
      <c r="M146" s="572"/>
      <c r="N146" s="43"/>
      <c r="O146" s="43"/>
      <c r="P146" s="43"/>
      <c r="Q146" s="43"/>
      <c r="R146" s="43"/>
      <c r="S146" s="43"/>
    </row>
    <row r="147" spans="12:19" ht="12.75">
      <c r="L147" s="583"/>
      <c r="M147" s="572"/>
      <c r="N147" s="43"/>
      <c r="O147" s="43"/>
      <c r="P147" s="43"/>
      <c r="Q147" s="43"/>
      <c r="R147" s="43"/>
      <c r="S147" s="43"/>
    </row>
    <row r="148" spans="12:19" ht="12.75">
      <c r="L148" s="583"/>
      <c r="M148" s="572"/>
      <c r="N148" s="43"/>
      <c r="O148" s="43"/>
      <c r="P148" s="43"/>
      <c r="Q148" s="43"/>
      <c r="R148" s="43"/>
      <c r="S148" s="43"/>
    </row>
    <row r="149" spans="12:19" ht="12.75">
      <c r="L149" s="583"/>
      <c r="M149" s="572"/>
      <c r="N149" s="43"/>
      <c r="O149" s="43"/>
      <c r="P149" s="43"/>
      <c r="Q149" s="43"/>
      <c r="R149" s="43"/>
      <c r="S149" s="43"/>
    </row>
    <row r="150" spans="12:19" ht="12.75">
      <c r="L150" s="583"/>
      <c r="M150" s="572"/>
      <c r="N150" s="43"/>
      <c r="O150" s="43"/>
      <c r="P150" s="43"/>
      <c r="Q150" s="43"/>
      <c r="R150" s="43"/>
      <c r="S150" s="43"/>
    </row>
    <row r="151" spans="12:19" ht="12.75">
      <c r="L151" s="583"/>
      <c r="M151" s="572"/>
      <c r="N151" s="43"/>
      <c r="O151" s="43"/>
      <c r="P151" s="43"/>
      <c r="Q151" s="43"/>
      <c r="R151" s="43"/>
      <c r="S151" s="43"/>
    </row>
    <row r="152" spans="12:19" ht="12.75">
      <c r="L152" s="583"/>
      <c r="M152" s="572"/>
      <c r="N152" s="43"/>
      <c r="O152" s="43"/>
      <c r="P152" s="43"/>
      <c r="Q152" s="43"/>
      <c r="R152" s="43"/>
      <c r="S152" s="43"/>
    </row>
    <row r="153" spans="12:19" ht="12.75">
      <c r="L153" s="583"/>
      <c r="M153" s="572"/>
      <c r="N153" s="43"/>
      <c r="O153" s="43"/>
      <c r="P153" s="43"/>
      <c r="Q153" s="43"/>
      <c r="R153" s="43"/>
      <c r="S153" s="43"/>
    </row>
    <row r="154" spans="12:19" ht="12.75">
      <c r="L154" s="583"/>
      <c r="M154" s="572"/>
      <c r="N154" s="43"/>
      <c r="O154" s="43"/>
      <c r="P154" s="43"/>
      <c r="Q154" s="43"/>
      <c r="R154" s="43"/>
      <c r="S154" s="43"/>
    </row>
    <row r="155" spans="12:19" ht="12.75">
      <c r="L155" s="583"/>
      <c r="M155" s="572"/>
      <c r="N155" s="43"/>
      <c r="O155" s="43"/>
      <c r="P155" s="43"/>
      <c r="Q155" s="43"/>
      <c r="R155" s="43"/>
      <c r="S155" s="43"/>
    </row>
    <row r="156" spans="12:19" ht="12.75">
      <c r="L156" s="583"/>
      <c r="M156" s="572"/>
      <c r="N156" s="43"/>
      <c r="O156" s="43"/>
      <c r="P156" s="43"/>
      <c r="Q156" s="43"/>
      <c r="R156" s="43"/>
      <c r="S156" s="43"/>
    </row>
    <row r="157" spans="12:19" ht="12.75">
      <c r="L157" s="583"/>
      <c r="M157" s="572"/>
      <c r="N157" s="43"/>
      <c r="O157" s="43"/>
      <c r="P157" s="43"/>
      <c r="Q157" s="43"/>
      <c r="R157" s="43"/>
      <c r="S157" s="43"/>
    </row>
    <row r="158" spans="12:19" ht="12.75">
      <c r="L158" s="583"/>
      <c r="M158" s="572"/>
      <c r="N158" s="43"/>
      <c r="O158" s="43"/>
      <c r="P158" s="43"/>
      <c r="Q158" s="43"/>
      <c r="R158" s="43"/>
      <c r="S158" s="43"/>
    </row>
    <row r="159" spans="12:19" ht="12.75">
      <c r="L159" s="583"/>
      <c r="M159" s="572"/>
      <c r="N159" s="43"/>
      <c r="O159" s="43"/>
      <c r="P159" s="43"/>
      <c r="Q159" s="43"/>
      <c r="R159" s="43"/>
      <c r="S159" s="43"/>
    </row>
    <row r="160" spans="12:19" ht="12.75">
      <c r="L160" s="583"/>
      <c r="M160" s="572"/>
      <c r="N160" s="43"/>
      <c r="O160" s="43"/>
      <c r="P160" s="43"/>
      <c r="Q160" s="43"/>
      <c r="R160" s="43"/>
      <c r="S160" s="43"/>
    </row>
    <row r="161" spans="12:19" ht="12.75">
      <c r="L161" s="583"/>
      <c r="M161" s="572"/>
      <c r="N161" s="43"/>
      <c r="O161" s="43"/>
      <c r="P161" s="43"/>
      <c r="Q161" s="43"/>
      <c r="R161" s="43"/>
      <c r="S161" s="43"/>
    </row>
    <row r="162" spans="12:19" ht="12.75">
      <c r="L162" s="583"/>
      <c r="M162" s="572"/>
      <c r="N162" s="43"/>
      <c r="O162" s="43"/>
      <c r="P162" s="43"/>
      <c r="Q162" s="43"/>
      <c r="R162" s="43"/>
      <c r="S162" s="43"/>
    </row>
    <row r="163" spans="12:19" ht="12.75">
      <c r="L163" s="583"/>
      <c r="M163" s="572"/>
      <c r="N163" s="43"/>
      <c r="O163" s="43"/>
      <c r="P163" s="43"/>
      <c r="Q163" s="43"/>
      <c r="R163" s="43"/>
      <c r="S163" s="43"/>
    </row>
    <row r="164" spans="12:19" ht="12.75">
      <c r="L164" s="583"/>
      <c r="M164" s="572"/>
      <c r="N164" s="43"/>
      <c r="O164" s="43"/>
      <c r="P164" s="43"/>
      <c r="Q164" s="43"/>
      <c r="R164" s="43"/>
      <c r="S164" s="43"/>
    </row>
    <row r="165" spans="12:19" ht="12.75">
      <c r="L165" s="583"/>
      <c r="M165" s="572"/>
      <c r="N165" s="43"/>
      <c r="O165" s="43"/>
      <c r="P165" s="43"/>
      <c r="Q165" s="43"/>
      <c r="R165" s="43"/>
      <c r="S165" s="43"/>
    </row>
    <row r="166" spans="12:19" ht="12.75">
      <c r="L166" s="583"/>
      <c r="M166" s="572"/>
      <c r="N166" s="43"/>
      <c r="O166" s="43"/>
      <c r="P166" s="43"/>
      <c r="Q166" s="43"/>
      <c r="R166" s="43"/>
      <c r="S166" s="43"/>
    </row>
    <row r="167" spans="12:19" ht="12.75">
      <c r="L167" s="583"/>
      <c r="M167" s="572"/>
      <c r="N167" s="43"/>
      <c r="O167" s="43"/>
      <c r="P167" s="43"/>
      <c r="Q167" s="43"/>
      <c r="R167" s="43"/>
      <c r="S167" s="43"/>
    </row>
    <row r="168" spans="12:19" ht="12.75">
      <c r="L168" s="583"/>
      <c r="M168" s="572"/>
      <c r="N168" s="43"/>
      <c r="O168" s="43"/>
      <c r="P168" s="43"/>
      <c r="Q168" s="43"/>
      <c r="R168" s="43"/>
      <c r="S168" s="43"/>
    </row>
    <row r="169" spans="12:19" ht="12.75">
      <c r="L169" s="583"/>
      <c r="M169" s="572"/>
      <c r="N169" s="43"/>
      <c r="O169" s="43"/>
      <c r="P169" s="43"/>
      <c r="Q169" s="43"/>
      <c r="R169" s="43"/>
      <c r="S169" s="43"/>
    </row>
    <row r="170" spans="12:19" ht="12.75">
      <c r="L170" s="583"/>
      <c r="M170" s="572"/>
      <c r="N170" s="43"/>
      <c r="O170" s="43"/>
      <c r="P170" s="43"/>
      <c r="Q170" s="43"/>
      <c r="R170" s="43"/>
      <c r="S170" s="43"/>
    </row>
    <row r="171" spans="12:19" ht="12.75">
      <c r="L171" s="583"/>
      <c r="M171" s="572"/>
      <c r="N171" s="43"/>
      <c r="O171" s="43"/>
      <c r="P171" s="43"/>
      <c r="Q171" s="43"/>
      <c r="R171" s="43"/>
      <c r="S171" s="43"/>
    </row>
    <row r="172" spans="12:19" ht="12.75">
      <c r="L172" s="583"/>
      <c r="M172" s="572"/>
      <c r="N172" s="43"/>
      <c r="O172" s="43"/>
      <c r="P172" s="43"/>
      <c r="Q172" s="43"/>
      <c r="R172" s="43"/>
      <c r="S172" s="43"/>
    </row>
    <row r="173" spans="12:19" ht="12.75">
      <c r="L173" s="583"/>
      <c r="M173" s="572"/>
      <c r="N173" s="43"/>
      <c r="O173" s="43"/>
      <c r="P173" s="43"/>
      <c r="Q173" s="43"/>
      <c r="R173" s="43"/>
      <c r="S173" s="43"/>
    </row>
    <row r="174" spans="12:19" ht="12.75">
      <c r="L174" s="583"/>
      <c r="M174" s="572"/>
      <c r="N174" s="43"/>
      <c r="O174" s="43"/>
      <c r="P174" s="43"/>
      <c r="Q174" s="43"/>
      <c r="R174" s="43"/>
      <c r="S174" s="43"/>
    </row>
    <row r="175" spans="12:19" ht="12.75">
      <c r="L175" s="583"/>
      <c r="M175" s="572"/>
      <c r="N175" s="43"/>
      <c r="O175" s="43"/>
      <c r="P175" s="43"/>
      <c r="Q175" s="43"/>
      <c r="R175" s="43"/>
      <c r="S175" s="43"/>
    </row>
    <row r="176" spans="12:19" ht="12.75">
      <c r="L176" s="583"/>
      <c r="M176" s="572"/>
      <c r="N176" s="43"/>
      <c r="O176" s="43"/>
      <c r="P176" s="43"/>
      <c r="Q176" s="43"/>
      <c r="R176" s="43"/>
      <c r="S176" s="43"/>
    </row>
    <row r="177" spans="12:19" ht="12.75">
      <c r="L177" s="583"/>
      <c r="M177" s="572"/>
      <c r="N177" s="43"/>
      <c r="O177" s="43"/>
      <c r="P177" s="43"/>
      <c r="Q177" s="43"/>
      <c r="R177" s="43"/>
      <c r="S177" s="43"/>
    </row>
    <row r="178" spans="12:19" ht="12.75">
      <c r="L178" s="583"/>
      <c r="M178" s="572"/>
      <c r="N178" s="43"/>
      <c r="O178" s="43"/>
      <c r="P178" s="43"/>
      <c r="Q178" s="43"/>
      <c r="R178" s="43"/>
      <c r="S178" s="43"/>
    </row>
    <row r="179" spans="12:19" ht="12.75">
      <c r="L179" s="583"/>
      <c r="M179" s="572"/>
      <c r="N179" s="43"/>
      <c r="O179" s="43"/>
      <c r="P179" s="43"/>
      <c r="Q179" s="43"/>
      <c r="R179" s="43"/>
      <c r="S179" s="43"/>
    </row>
    <row r="180" spans="12:19" ht="12.75">
      <c r="L180" s="583"/>
      <c r="M180" s="572"/>
      <c r="N180" s="43"/>
      <c r="O180" s="43"/>
      <c r="P180" s="43"/>
      <c r="Q180" s="43"/>
      <c r="R180" s="43"/>
      <c r="S180" s="43"/>
    </row>
    <row r="181" spans="12:19" ht="12.75">
      <c r="L181" s="583"/>
      <c r="M181" s="572"/>
      <c r="N181" s="43"/>
      <c r="O181" s="43"/>
      <c r="P181" s="43"/>
      <c r="Q181" s="43"/>
      <c r="R181" s="43"/>
      <c r="S181" s="43"/>
    </row>
    <row r="182" spans="12:19" ht="12.75">
      <c r="L182" s="583"/>
      <c r="M182" s="572"/>
      <c r="N182" s="43"/>
      <c r="O182" s="43"/>
      <c r="P182" s="43"/>
      <c r="Q182" s="43"/>
      <c r="R182" s="43"/>
      <c r="S182" s="43"/>
    </row>
    <row r="183" spans="12:19" ht="12.75">
      <c r="L183" s="583"/>
      <c r="M183" s="572"/>
      <c r="N183" s="43"/>
      <c r="O183" s="43"/>
      <c r="P183" s="43"/>
      <c r="Q183" s="43"/>
      <c r="R183" s="43"/>
      <c r="S183" s="43"/>
    </row>
    <row r="184" spans="12:19" ht="12.75">
      <c r="L184" s="583"/>
      <c r="M184" s="572"/>
      <c r="N184" s="43"/>
      <c r="O184" s="43"/>
      <c r="P184" s="43"/>
      <c r="Q184" s="43"/>
      <c r="R184" s="43"/>
      <c r="S184" s="43"/>
    </row>
    <row r="185" spans="12:19" ht="12.75">
      <c r="L185" s="583"/>
      <c r="M185" s="572"/>
      <c r="N185" s="43"/>
      <c r="O185" s="43"/>
      <c r="P185" s="43"/>
      <c r="Q185" s="43"/>
      <c r="R185" s="43"/>
      <c r="S185" s="43"/>
    </row>
    <row r="186" spans="12:19" ht="12.75">
      <c r="L186" s="583"/>
      <c r="M186" s="572"/>
      <c r="N186" s="43"/>
      <c r="O186" s="43"/>
      <c r="P186" s="43"/>
      <c r="Q186" s="43"/>
      <c r="R186" s="43"/>
      <c r="S186" s="43"/>
    </row>
    <row r="187" spans="12:19" ht="12.75">
      <c r="L187" s="583"/>
      <c r="M187" s="572"/>
      <c r="N187" s="43"/>
      <c r="O187" s="43"/>
      <c r="P187" s="43"/>
      <c r="Q187" s="43"/>
      <c r="R187" s="43"/>
      <c r="S187" s="43"/>
    </row>
    <row r="188" spans="12:19" ht="12.75">
      <c r="L188" s="583"/>
      <c r="M188" s="572"/>
      <c r="N188" s="43"/>
      <c r="O188" s="43"/>
      <c r="P188" s="43"/>
      <c r="Q188" s="43"/>
      <c r="R188" s="43"/>
      <c r="S188" s="43"/>
    </row>
    <row r="189" spans="12:19" ht="12.75">
      <c r="L189" s="583"/>
      <c r="M189" s="572"/>
      <c r="N189" s="43"/>
      <c r="O189" s="43"/>
      <c r="P189" s="43"/>
      <c r="Q189" s="43"/>
      <c r="R189" s="43"/>
      <c r="S189" s="43"/>
    </row>
    <row r="190" spans="12:19" ht="12.75">
      <c r="L190" s="583"/>
      <c r="M190" s="572"/>
      <c r="N190" s="43"/>
      <c r="O190" s="43"/>
      <c r="P190" s="43"/>
      <c r="Q190" s="43"/>
      <c r="R190" s="43"/>
      <c r="S190" s="43"/>
    </row>
    <row r="191" spans="12:19" ht="12.75">
      <c r="L191" s="583"/>
      <c r="M191" s="572"/>
      <c r="N191" s="43"/>
      <c r="O191" s="43"/>
      <c r="P191" s="43"/>
      <c r="Q191" s="43"/>
      <c r="R191" s="43"/>
      <c r="S191" s="43"/>
    </row>
    <row r="192" spans="12:19" ht="12.75">
      <c r="L192" s="583"/>
      <c r="M192" s="572"/>
      <c r="N192" s="43"/>
      <c r="O192" s="43"/>
      <c r="P192" s="43"/>
      <c r="Q192" s="43"/>
      <c r="R192" s="43"/>
      <c r="S192" s="43"/>
    </row>
    <row r="193" spans="12:19" ht="12.75">
      <c r="L193" s="583"/>
      <c r="M193" s="572"/>
      <c r="N193" s="43"/>
      <c r="O193" s="43"/>
      <c r="P193" s="43"/>
      <c r="Q193" s="43"/>
      <c r="R193" s="43"/>
      <c r="S193" s="43"/>
    </row>
    <row r="194" spans="12:19" ht="12.75">
      <c r="L194" s="583"/>
      <c r="M194" s="572"/>
      <c r="N194" s="43"/>
      <c r="O194" s="43"/>
      <c r="P194" s="43"/>
      <c r="Q194" s="43"/>
      <c r="R194" s="43"/>
      <c r="S194" s="43"/>
    </row>
    <row r="195" spans="12:19" ht="12.75">
      <c r="L195" s="583"/>
      <c r="M195" s="572"/>
      <c r="N195" s="43"/>
      <c r="O195" s="43"/>
      <c r="P195" s="43"/>
      <c r="Q195" s="43"/>
      <c r="R195" s="43"/>
      <c r="S195" s="43"/>
    </row>
    <row r="196" spans="12:19" ht="12.75">
      <c r="L196" s="583"/>
      <c r="M196" s="572"/>
      <c r="N196" s="43"/>
      <c r="O196" s="43"/>
      <c r="P196" s="43"/>
      <c r="Q196" s="43"/>
      <c r="R196" s="43"/>
      <c r="S196" s="43"/>
    </row>
    <row r="197" spans="12:19" ht="12.75">
      <c r="L197" s="583"/>
      <c r="M197" s="572"/>
      <c r="N197" s="43"/>
      <c r="O197" s="43"/>
      <c r="P197" s="43"/>
      <c r="Q197" s="43"/>
      <c r="R197" s="43"/>
      <c r="S197" s="43"/>
    </row>
    <row r="198" spans="12:19" ht="12.75">
      <c r="L198" s="583"/>
      <c r="M198" s="572"/>
      <c r="N198" s="43"/>
      <c r="O198" s="43"/>
      <c r="P198" s="43"/>
      <c r="Q198" s="43"/>
      <c r="R198" s="43"/>
      <c r="S198" s="43"/>
    </row>
    <row r="199" spans="12:19" ht="12.75">
      <c r="L199" s="583"/>
      <c r="M199" s="572"/>
      <c r="N199" s="43"/>
      <c r="O199" s="43"/>
      <c r="P199" s="43"/>
      <c r="Q199" s="43"/>
      <c r="R199" s="43"/>
      <c r="S199" s="43"/>
    </row>
    <row r="200" spans="1:19" ht="12.75">
      <c r="A200" s="289">
        <v>0</v>
      </c>
      <c r="B200" s="289">
        <v>0</v>
      </c>
      <c r="C200" s="289">
        <v>0</v>
      </c>
      <c r="D200" s="289">
        <v>0</v>
      </c>
      <c r="E200" s="289">
        <v>0</v>
      </c>
      <c r="F200" s="289">
        <v>0</v>
      </c>
      <c r="G200" s="289">
        <v>0</v>
      </c>
      <c r="H200" s="289">
        <v>0</v>
      </c>
      <c r="I200" s="289">
        <v>0</v>
      </c>
      <c r="J200" s="289">
        <v>0</v>
      </c>
      <c r="K200" s="573">
        <v>0</v>
      </c>
      <c r="L200" s="581"/>
      <c r="M200" s="574">
        <v>0</v>
      </c>
      <c r="N200" s="43"/>
      <c r="O200" s="43"/>
      <c r="P200" s="43"/>
      <c r="Q200" s="43"/>
      <c r="R200" s="43"/>
      <c r="S200" s="43"/>
    </row>
    <row r="201" spans="14:19" ht="12.75">
      <c r="N201" s="43"/>
      <c r="O201" s="43"/>
      <c r="P201" s="43"/>
      <c r="Q201" s="43"/>
      <c r="R201" s="43"/>
      <c r="S201" s="43"/>
    </row>
    <row r="202" spans="14:19" ht="12.75">
      <c r="N202" s="43"/>
      <c r="O202" s="43"/>
      <c r="P202" s="43"/>
      <c r="Q202" s="43"/>
      <c r="R202" s="43"/>
      <c r="S202" s="43"/>
    </row>
    <row r="203" spans="14:19" ht="12.75">
      <c r="N203" s="43"/>
      <c r="O203" s="43"/>
      <c r="P203" s="43"/>
      <c r="Q203" s="43"/>
      <c r="R203" s="43"/>
      <c r="S203" s="43"/>
    </row>
    <row r="204" spans="14:19" ht="12.75">
      <c r="N204" s="43"/>
      <c r="O204" s="43"/>
      <c r="P204" s="43"/>
      <c r="Q204" s="43"/>
      <c r="R204" s="43"/>
      <c r="S204" s="43"/>
    </row>
    <row r="205" spans="14:19" ht="12.75">
      <c r="N205" s="43"/>
      <c r="O205" s="43"/>
      <c r="P205" s="43"/>
      <c r="Q205" s="43"/>
      <c r="R205" s="43"/>
      <c r="S205" s="43"/>
    </row>
    <row r="206" spans="14:19" ht="12.75">
      <c r="N206" s="43"/>
      <c r="O206" s="43"/>
      <c r="P206" s="43"/>
      <c r="Q206" s="43"/>
      <c r="R206" s="43"/>
      <c r="S206" s="43"/>
    </row>
    <row r="207" spans="14:19" ht="12.75">
      <c r="N207" s="43"/>
      <c r="O207" s="43"/>
      <c r="P207" s="43"/>
      <c r="Q207" s="43"/>
      <c r="R207" s="43"/>
      <c r="S207" s="43"/>
    </row>
    <row r="208" spans="14:19" ht="12.75">
      <c r="N208" s="43"/>
      <c r="O208" s="43"/>
      <c r="P208" s="43"/>
      <c r="Q208" s="43"/>
      <c r="R208" s="43"/>
      <c r="S208" s="43"/>
    </row>
    <row r="209" spans="14:19" ht="12.75">
      <c r="N209" s="43"/>
      <c r="O209" s="43"/>
      <c r="P209" s="43"/>
      <c r="Q209" s="43"/>
      <c r="R209" s="43"/>
      <c r="S209" s="43"/>
    </row>
    <row r="210" spans="14:19" ht="12.75">
      <c r="N210" s="43"/>
      <c r="O210" s="43"/>
      <c r="P210" s="43"/>
      <c r="Q210" s="43"/>
      <c r="R210" s="43"/>
      <c r="S210" s="43"/>
    </row>
    <row r="211" spans="14:19" ht="12.75">
      <c r="N211" s="43"/>
      <c r="O211" s="43"/>
      <c r="P211" s="43"/>
      <c r="Q211" s="43"/>
      <c r="R211" s="43"/>
      <c r="S211" s="43"/>
    </row>
    <row r="212" spans="14:19" ht="12.75">
      <c r="N212" s="43"/>
      <c r="O212" s="43"/>
      <c r="P212" s="43"/>
      <c r="Q212" s="43"/>
      <c r="R212" s="43"/>
      <c r="S212" s="43"/>
    </row>
    <row r="213" spans="14:19" ht="12.75">
      <c r="N213" s="43"/>
      <c r="O213" s="43"/>
      <c r="P213" s="43"/>
      <c r="Q213" s="43"/>
      <c r="R213" s="43"/>
      <c r="S213" s="43"/>
    </row>
    <row r="214" spans="14:19" ht="12.75">
      <c r="N214" s="43"/>
      <c r="O214" s="43"/>
      <c r="P214" s="43"/>
      <c r="Q214" s="43"/>
      <c r="R214" s="43"/>
      <c r="S214" s="43"/>
    </row>
    <row r="215" spans="14:19" ht="12.75">
      <c r="N215" s="43"/>
      <c r="O215" s="43"/>
      <c r="P215" s="43"/>
      <c r="Q215" s="43"/>
      <c r="R215" s="43"/>
      <c r="S215" s="43"/>
    </row>
    <row r="216" spans="14:19" ht="12.75">
      <c r="N216" s="43"/>
      <c r="O216" s="43"/>
      <c r="P216" s="43"/>
      <c r="Q216" s="43"/>
      <c r="R216" s="43"/>
      <c r="S216" s="43"/>
    </row>
    <row r="217" spans="14:19" ht="12.75">
      <c r="N217" s="43"/>
      <c r="O217" s="43"/>
      <c r="P217" s="43"/>
      <c r="Q217" s="43"/>
      <c r="R217" s="43"/>
      <c r="S217" s="43"/>
    </row>
    <row r="218" spans="14:19" ht="12.75">
      <c r="N218" s="43"/>
      <c r="O218" s="43"/>
      <c r="P218" s="43"/>
      <c r="Q218" s="43"/>
      <c r="R218" s="43"/>
      <c r="S218" s="43"/>
    </row>
    <row r="219" spans="14:19" ht="12.75">
      <c r="N219" s="43"/>
      <c r="O219" s="43"/>
      <c r="P219" s="43"/>
      <c r="Q219" s="43"/>
      <c r="R219" s="43"/>
      <c r="S219" s="43"/>
    </row>
    <row r="220" spans="14:19" ht="12.75">
      <c r="N220" s="43"/>
      <c r="O220" s="43"/>
      <c r="P220" s="43"/>
      <c r="Q220" s="43"/>
      <c r="R220" s="43"/>
      <c r="S220" s="43"/>
    </row>
    <row r="221" spans="14:19" ht="12.75">
      <c r="N221" s="43"/>
      <c r="O221" s="43"/>
      <c r="P221" s="43"/>
      <c r="Q221" s="43"/>
      <c r="R221" s="43"/>
      <c r="S221" s="43"/>
    </row>
    <row r="222" spans="14:19" ht="12.75">
      <c r="N222" s="43"/>
      <c r="O222" s="43"/>
      <c r="P222" s="43"/>
      <c r="Q222" s="43"/>
      <c r="R222" s="43"/>
      <c r="S222" s="43"/>
    </row>
    <row r="223" spans="14:19" ht="12.75">
      <c r="N223" s="43"/>
      <c r="O223" s="43"/>
      <c r="P223" s="43"/>
      <c r="Q223" s="43"/>
      <c r="R223" s="43"/>
      <c r="S223" s="43"/>
    </row>
    <row r="224" spans="14:19" ht="12.75">
      <c r="N224" s="43"/>
      <c r="O224" s="43"/>
      <c r="P224" s="43"/>
      <c r="Q224" s="43"/>
      <c r="R224" s="43"/>
      <c r="S224" s="43"/>
    </row>
    <row r="225" spans="14:19" ht="12.75">
      <c r="N225" s="43"/>
      <c r="O225" s="43"/>
      <c r="P225" s="43"/>
      <c r="Q225" s="43"/>
      <c r="R225" s="43"/>
      <c r="S225" s="43"/>
    </row>
    <row r="226" spans="14:19" ht="12.75">
      <c r="N226" s="43"/>
      <c r="O226" s="43"/>
      <c r="P226" s="43"/>
      <c r="Q226" s="43"/>
      <c r="R226" s="43"/>
      <c r="S226" s="43"/>
    </row>
    <row r="227" spans="14:19" ht="12.75">
      <c r="N227" s="43"/>
      <c r="O227" s="43"/>
      <c r="P227" s="43"/>
      <c r="Q227" s="43"/>
      <c r="R227" s="43"/>
      <c r="S227" s="43"/>
    </row>
    <row r="228" spans="14:19" ht="12.75">
      <c r="N228" s="43"/>
      <c r="O228" s="43"/>
      <c r="P228" s="43"/>
      <c r="Q228" s="43"/>
      <c r="R228" s="43"/>
      <c r="S228" s="43"/>
    </row>
    <row r="229" spans="14:19" ht="12.75">
      <c r="N229" s="43"/>
      <c r="O229" s="43"/>
      <c r="P229" s="43"/>
      <c r="Q229" s="43"/>
      <c r="R229" s="43"/>
      <c r="S229" s="43"/>
    </row>
    <row r="230" spans="14:19" ht="12.75">
      <c r="N230" s="43"/>
      <c r="O230" s="43"/>
      <c r="P230" s="43"/>
      <c r="Q230" s="43"/>
      <c r="R230" s="43"/>
      <c r="S230" s="43"/>
    </row>
    <row r="231" spans="14:19" ht="12.75">
      <c r="N231" s="43"/>
      <c r="O231" s="43"/>
      <c r="P231" s="43"/>
      <c r="Q231" s="43"/>
      <c r="R231" s="43"/>
      <c r="S231" s="43"/>
    </row>
    <row r="232" spans="14:19" ht="12.75">
      <c r="N232" s="43"/>
      <c r="O232" s="43"/>
      <c r="P232" s="43"/>
      <c r="Q232" s="43"/>
      <c r="R232" s="43"/>
      <c r="S232" s="43"/>
    </row>
    <row r="233" spans="14:19" ht="12.75">
      <c r="N233" s="43"/>
      <c r="O233" s="43"/>
      <c r="P233" s="43"/>
      <c r="Q233" s="43"/>
      <c r="R233" s="43"/>
      <c r="S233" s="43"/>
    </row>
    <row r="234" spans="14:19" ht="12.75">
      <c r="N234" s="43"/>
      <c r="O234" s="43"/>
      <c r="P234" s="43"/>
      <c r="Q234" s="43"/>
      <c r="R234" s="43"/>
      <c r="S234" s="43"/>
    </row>
  </sheetData>
  <mergeCells count="6">
    <mergeCell ref="E119:E125"/>
    <mergeCell ref="E88:E91"/>
    <mergeCell ref="E57:E59"/>
    <mergeCell ref="E55:E56"/>
    <mergeCell ref="E61:E63"/>
    <mergeCell ref="E84:E87"/>
  </mergeCells>
  <conditionalFormatting sqref="A31:A58 B52:B57 A59:B65 E2:J24 A2:A24 B2:B50">
    <cfRule type="expression" priority="1" dxfId="0" stopIfTrue="1">
      <formula>COUNTIF(A2:A297,A2)&gt;1</formula>
    </cfRule>
    <cfRule type="cellIs" priority="2" dxfId="1" operator="between" stopIfTrue="1">
      <formula>9206000000</formula>
      <formula>9206100000</formula>
    </cfRule>
  </conditionalFormatting>
  <printOptions gridLines="1"/>
  <pageMargins left="0.5905511811023623" right="0.5905511811023623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R81"/>
  <sheetViews>
    <sheetView workbookViewId="0" topLeftCell="A1">
      <selection activeCell="E4" sqref="E4:M4"/>
    </sheetView>
  </sheetViews>
  <sheetFormatPr defaultColWidth="11.421875" defaultRowHeight="12.75"/>
  <cols>
    <col min="1" max="1" width="17.28125" style="0" customWidth="1"/>
    <col min="2" max="2" width="20.421875" style="0" customWidth="1"/>
    <col min="3" max="3" width="9.7109375" style="0" customWidth="1"/>
    <col min="4" max="11" width="3.7109375" style="0" customWidth="1"/>
    <col min="12" max="13" width="9.7109375" style="0" customWidth="1"/>
    <col min="14" max="15" width="13.00390625" style="0" customWidth="1"/>
    <col min="17" max="17" width="18.140625" style="0" customWidth="1"/>
  </cols>
  <sheetData>
    <row r="1" spans="1:16" ht="26.25" customHeight="1" thickBot="1">
      <c r="A1" s="88" t="s">
        <v>1047</v>
      </c>
      <c r="B1" s="89" t="s">
        <v>1048</v>
      </c>
      <c r="C1" s="90" t="s">
        <v>1050</v>
      </c>
      <c r="D1" s="889" t="s">
        <v>1056</v>
      </c>
      <c r="E1" s="889"/>
      <c r="F1" s="889"/>
      <c r="G1" s="889"/>
      <c r="H1" s="890" t="s">
        <v>1055</v>
      </c>
      <c r="I1" s="889"/>
      <c r="J1" s="889"/>
      <c r="K1" s="889"/>
      <c r="L1" s="91" t="s">
        <v>1057</v>
      </c>
      <c r="M1" s="91" t="s">
        <v>1058</v>
      </c>
      <c r="N1" s="91" t="s">
        <v>1059</v>
      </c>
      <c r="O1" s="91" t="s">
        <v>1062</v>
      </c>
      <c r="P1" s="92" t="s">
        <v>1049</v>
      </c>
    </row>
    <row r="2" spans="1:18" ht="25.5" customHeight="1" thickBot="1">
      <c r="A2" s="93"/>
      <c r="B2" s="1"/>
      <c r="C2" s="61" t="s">
        <v>1051</v>
      </c>
      <c r="D2" s="61" t="s">
        <v>689</v>
      </c>
      <c r="E2" s="61" t="s">
        <v>690</v>
      </c>
      <c r="F2" s="61" t="s">
        <v>1053</v>
      </c>
      <c r="G2" s="65" t="s">
        <v>1054</v>
      </c>
      <c r="H2" s="64" t="s">
        <v>689</v>
      </c>
      <c r="I2" s="61" t="s">
        <v>690</v>
      </c>
      <c r="J2" s="61" t="s">
        <v>1053</v>
      </c>
      <c r="K2" s="65" t="s">
        <v>1054</v>
      </c>
      <c r="L2" s="65" t="s">
        <v>1052</v>
      </c>
      <c r="M2" s="65" t="s">
        <v>1052</v>
      </c>
      <c r="N2" s="65" t="s">
        <v>1060</v>
      </c>
      <c r="P2" s="94" t="s">
        <v>1051</v>
      </c>
      <c r="Q2" s="498" t="s">
        <v>157</v>
      </c>
      <c r="R2" s="506" t="s">
        <v>160</v>
      </c>
    </row>
    <row r="3" spans="1:18" ht="12.75">
      <c r="A3" s="95">
        <v>9206059000</v>
      </c>
      <c r="B3" s="25" t="s">
        <v>921</v>
      </c>
      <c r="C3" s="70">
        <v>1215</v>
      </c>
      <c r="D3" s="77">
        <f>IF(AND((Abfrage!$B$39+Abfrage!$B$40+Abfrage!$B$41+Abfrage!$B$42)&gt;0,(Abfrage!$B$56+Abfrage!$B$62)&gt;0),1,0)</f>
        <v>0</v>
      </c>
      <c r="E3" s="77">
        <f>IF(AND((Abfrage!$B$39+Abfrage!$B$41)&gt;0,(Abfrage!$B$56+Abfrage!$B$62)&gt;0),1,0)</f>
        <v>0</v>
      </c>
      <c r="F3" s="77">
        <f>IF(AND((Abfrage!$B$39+Abfrage!$B$40)&gt;0,(Abfrage!$B$56+Abfrage!$B$62)&gt;0),1,0)</f>
        <v>0</v>
      </c>
      <c r="G3" s="77">
        <f>IF(AND((Abfrage!$B$39+Abfrage!$B$40)&gt;0,(Abfrage!$B$56+Abfrage!$B$62)&gt;0),1,0)</f>
        <v>0</v>
      </c>
      <c r="H3" s="76">
        <f>IF(Abfrage!$B$57+Abfrage!$B$63&gt;0,1,0)</f>
        <v>0</v>
      </c>
      <c r="I3" s="77">
        <f>IF(Abfrage!$B$57+Abfrage!$B$63&gt;0,1,0)</f>
        <v>0</v>
      </c>
      <c r="J3" s="77">
        <f>IF(Abfrage!$B$57+Abfrage!$B$63&gt;0,1,0)</f>
        <v>0</v>
      </c>
      <c r="K3" s="78">
        <f>IF(Abfrage!$B$57+Abfrage!$B$63&gt;0,1,0)</f>
        <v>0</v>
      </c>
      <c r="L3" s="96">
        <f>(Abfrage!$C$32-(L9*2))</f>
        <v>-82</v>
      </c>
      <c r="M3" s="69">
        <f>(Abfrage!$C$33-(L9*2))</f>
        <v>-82</v>
      </c>
      <c r="N3" s="19">
        <f aca="true" t="shared" si="0" ref="N3:N8">((L3*(D3+E3+H3+I3))+(M3*(F3+G3+J3+K3)))</f>
        <v>0</v>
      </c>
      <c r="O3" s="69">
        <f aca="true" t="shared" si="1" ref="O3:O8">N3*1.06</f>
        <v>0</v>
      </c>
      <c r="P3" s="97">
        <f aca="true" t="shared" si="2" ref="P3:P8">(C3*N3)/1000</f>
        <v>0</v>
      </c>
      <c r="Q3" s="503">
        <f>IF(AND(D3+H3&gt;0,Abfrage!$B$141&lt;1),R3,0)</f>
        <v>0</v>
      </c>
      <c r="R3" s="505">
        <v>250</v>
      </c>
    </row>
    <row r="4" spans="1:18" ht="12.75">
      <c r="A4" s="95">
        <v>9206060000</v>
      </c>
      <c r="B4" s="25" t="s">
        <v>922</v>
      </c>
      <c r="C4" s="71">
        <v>2080</v>
      </c>
      <c r="D4" s="73">
        <f>IF(AND((Abfrage!$B$39+Abfrage!$B$40+Abfrage!$B$41+Abfrage!$B$42)&gt;0,(Abfrage!$B$57+Abfrage!$B$45)&gt;0),1,0)</f>
        <v>0</v>
      </c>
      <c r="E4" s="73">
        <f>IF(AND((Abfrage!$B$39+Abfrage!$B$41)&gt;0,(Abfrage!$B$57+Abfrage!$B$45)&gt;0),1,0)</f>
        <v>0</v>
      </c>
      <c r="F4" s="73">
        <f>IF(AND((Abfrage!$B$39+Abfrage!$B$40)&gt;0,(Abfrage!$B$57+Abfrage!$B$45)&gt;0),1,0)</f>
        <v>0</v>
      </c>
      <c r="G4" s="73">
        <f>IF(AND((Abfrage!$B$39+Abfrage!$B$40)&gt;0,(Abfrage!$B$57+Abfrage!$B$45)&gt;0),1,0)</f>
        <v>0</v>
      </c>
      <c r="H4" s="74">
        <f>IF(Abfrage!$B$56&gt;0,1,0)</f>
        <v>0</v>
      </c>
      <c r="I4" s="75">
        <f>IF(Abfrage!$B$56&gt;0,1,0)</f>
        <v>0</v>
      </c>
      <c r="J4" s="75">
        <f>IF(Abfrage!$B$56&gt;0,1,0)</f>
        <v>0</v>
      </c>
      <c r="K4" s="79">
        <f>IF(Abfrage!$B$56&gt;0,1,0)</f>
        <v>0</v>
      </c>
      <c r="L4" s="96">
        <f>(Abfrage!$C$32-(L10*2))</f>
        <v>-82</v>
      </c>
      <c r="M4" s="69">
        <f>(Abfrage!$C$33-(L10*2))</f>
        <v>-82</v>
      </c>
      <c r="N4" s="19">
        <f t="shared" si="0"/>
        <v>0</v>
      </c>
      <c r="O4" s="69">
        <f t="shared" si="1"/>
        <v>0</v>
      </c>
      <c r="P4" s="97">
        <f t="shared" si="2"/>
        <v>0</v>
      </c>
      <c r="Q4" s="503">
        <f>IF(AND(D4+H4&gt;0,Abfrage!$B$141&lt;1),R4,0)</f>
        <v>0</v>
      </c>
      <c r="R4" s="504">
        <v>270</v>
      </c>
    </row>
    <row r="5" spans="1:18" ht="12.75">
      <c r="A5" s="95">
        <v>9206061000</v>
      </c>
      <c r="B5" s="25" t="s">
        <v>923</v>
      </c>
      <c r="C5" s="71">
        <v>2902</v>
      </c>
      <c r="D5" s="73">
        <f>IF(AND((Abfrage!$B$39+Abfrage!$B$40+Abfrage!$B$41+Abfrage!$B$42)&gt;0,(Abfrage!$B$50+Abfrage!$B$63)&gt;0),1,0)</f>
        <v>0</v>
      </c>
      <c r="E5" s="73">
        <f>IF(AND((Abfrage!$B$39+Abfrage!$B$41)&gt;0,(Abfrage!$B$50+Abfrage!$B$63)&gt;0),1,0)</f>
        <v>0</v>
      </c>
      <c r="F5" s="73">
        <f>IF(AND((Abfrage!$B$39+Abfrage!$B$40)&gt;0,(Abfrage!$B$50+Abfrage!$B$63)&gt;0),1,0)</f>
        <v>0</v>
      </c>
      <c r="G5" s="73">
        <f>IF(AND((Abfrage!$B$39+Abfrage!$B$40)&gt;0,(Abfrage!$B$50+Abfrage!$B$63)&gt;0),1,0)</f>
        <v>0</v>
      </c>
      <c r="H5" s="74">
        <f>IF(Abfrage!$B$62&gt;0,1,0)</f>
        <v>0</v>
      </c>
      <c r="I5" s="75">
        <f>IF(Abfrage!$B$62&gt;0,1,0)</f>
        <v>0</v>
      </c>
      <c r="J5" s="75">
        <f>IF(Abfrage!$B$62&gt;0,1,0)</f>
        <v>0</v>
      </c>
      <c r="K5" s="79">
        <f>IF(Abfrage!$B$62&gt;0,1,0)</f>
        <v>0</v>
      </c>
      <c r="L5" s="96">
        <f>(Abfrage!$C$32-(L11*2))</f>
        <v>-82</v>
      </c>
      <c r="M5" s="69">
        <f>(Abfrage!$C$33-(L11*2))</f>
        <v>-82</v>
      </c>
      <c r="N5" s="19">
        <f t="shared" si="0"/>
        <v>0</v>
      </c>
      <c r="O5" s="69">
        <f t="shared" si="1"/>
        <v>0</v>
      </c>
      <c r="P5" s="97">
        <f t="shared" si="2"/>
        <v>0</v>
      </c>
      <c r="Q5" s="503">
        <f>IF(AND(D5+H5&gt;0,Abfrage!$B$141&lt;1),R5,0)</f>
        <v>0</v>
      </c>
      <c r="R5" s="504">
        <v>270</v>
      </c>
    </row>
    <row r="6" spans="1:18" ht="12.75">
      <c r="A6" s="95">
        <v>9206062000</v>
      </c>
      <c r="B6" s="25" t="s">
        <v>924</v>
      </c>
      <c r="C6" s="71">
        <v>1401</v>
      </c>
      <c r="D6" s="73">
        <f>IF(AND(Abfrage!$B$43&gt;0,(Abfrage!$B$45+Abfrage!$B$50+Abfrage!$B$57+Abfrage!$B$63)&lt;1),1,0)</f>
        <v>0</v>
      </c>
      <c r="E6" s="73">
        <f>IF(AND((Abfrage!$B$40+Abfrage!B42+Abfrage!B43)&gt;0,(Abfrage!$B$45+Abfrage!$B$50+Abfrage!$B$57+Abfrage!$B$63)&lt;1),1,0)</f>
        <v>0</v>
      </c>
      <c r="F6" s="73">
        <f>IF(AND((Abfrage!$B$41+Abfrage!$C$42+Abfrage!$C$43)&gt;0,(Abfrage!$B$45+Abfrage!$B$50+Abfrage!$B$57+Abfrage!$B$63)&lt;1),1,0)</f>
        <v>0</v>
      </c>
      <c r="G6" s="73">
        <f>IF(AND((Abfrage!$B$41+Abfrage!$C$42+Abfrage!$C$43)&gt;0,(Abfrage!$B$45+Abfrage!$B$50+Abfrage!$B$57+Abfrage!$B$63)&lt;1),1,0)</f>
        <v>0</v>
      </c>
      <c r="H6" s="74">
        <v>0</v>
      </c>
      <c r="I6" s="75">
        <v>0</v>
      </c>
      <c r="J6" s="75">
        <v>0</v>
      </c>
      <c r="K6" s="79">
        <v>0</v>
      </c>
      <c r="L6" s="96">
        <f>(Abfrage!$C$32-(L9*2))</f>
        <v>-82</v>
      </c>
      <c r="M6" s="69">
        <f>(Abfrage!$C$33-(L9*2))</f>
        <v>-82</v>
      </c>
      <c r="N6" s="19">
        <f t="shared" si="0"/>
        <v>0</v>
      </c>
      <c r="O6" s="69">
        <f t="shared" si="1"/>
        <v>0</v>
      </c>
      <c r="P6" s="97">
        <f t="shared" si="2"/>
        <v>0</v>
      </c>
      <c r="Q6" s="503">
        <f>IF(AND(D6+H6&gt;0,Abfrage!$B$141&lt;1),R6,0)</f>
        <v>0</v>
      </c>
      <c r="R6" s="504">
        <v>250</v>
      </c>
    </row>
    <row r="7" spans="1:18" ht="12.75">
      <c r="A7" s="95">
        <v>9206063000</v>
      </c>
      <c r="B7" s="25" t="s">
        <v>925</v>
      </c>
      <c r="C7" s="71">
        <v>2266</v>
      </c>
      <c r="D7" s="73">
        <f>IF(AND(Abfrage!$B$43&gt;0,(Abfrage!$B$57+Abfrage!$B$45)&gt;0),1,0)</f>
        <v>0</v>
      </c>
      <c r="E7" s="73">
        <f>IF(AND((Abfrage!$B$40+Abfrage!$B$42+Abfrage!$B$43)&gt;0,(Abfrage!$B$57+Abfrage!$B$45)&gt;0),1,0)</f>
        <v>0</v>
      </c>
      <c r="F7" s="73">
        <f>IF(AND((Abfrage!$B$41+Abfrage!$B$42+Abfrage!$B$43)&gt;0,(Abfrage!$B$57+Abfrage!$B$45)&gt;0),1,0)</f>
        <v>0</v>
      </c>
      <c r="G7" s="73">
        <f>IF(AND((Abfrage!$B$41+Abfrage!$B$42+Abfrage!$B$43)&gt;0,(Abfrage!$B$57+Abfrage!$B$45)&gt;0),1,0)</f>
        <v>0</v>
      </c>
      <c r="H7" s="74">
        <v>0</v>
      </c>
      <c r="I7" s="75">
        <v>0</v>
      </c>
      <c r="J7" s="75">
        <v>0</v>
      </c>
      <c r="K7" s="79">
        <v>0</v>
      </c>
      <c r="L7" s="96">
        <f>(Abfrage!$C$32-(L10*2))</f>
        <v>-82</v>
      </c>
      <c r="M7" s="69">
        <f>(Abfrage!$C$33-(L10*2))</f>
        <v>-82</v>
      </c>
      <c r="N7" s="19">
        <f t="shared" si="0"/>
        <v>0</v>
      </c>
      <c r="O7" s="69">
        <f t="shared" si="1"/>
        <v>0</v>
      </c>
      <c r="P7" s="97">
        <f t="shared" si="2"/>
        <v>0</v>
      </c>
      <c r="Q7" s="503">
        <f>IF(AND(D7+H7&gt;0,Abfrage!$B$141&lt;1),R7,0)</f>
        <v>0</v>
      </c>
      <c r="R7" s="504">
        <v>270</v>
      </c>
    </row>
    <row r="8" spans="1:18" ht="13.5" thickBot="1">
      <c r="A8" s="95">
        <v>9206064000</v>
      </c>
      <c r="B8" s="25" t="s">
        <v>926</v>
      </c>
      <c r="C8" s="71">
        <v>3088</v>
      </c>
      <c r="D8" s="80">
        <f>IF(AND(Abfrage!$B$43&gt;0,(Abfrage!$B$50+Abfrage!$B$63)&gt;0),1,0)</f>
        <v>0</v>
      </c>
      <c r="E8" s="80">
        <f>IF(AND((Abfrage!$B$40+Abfrage!$B$42+Abfrage!$B$43)&gt;0,(Abfrage!$B$50+Abfrage!$B$63)&gt;0),1,0)</f>
        <v>0</v>
      </c>
      <c r="F8" s="80">
        <f>IF(AND((Abfrage!$B$41+Abfrage!$B$42+Abfrage!$B$43)&gt;0,(Abfrage!$B$50+Abfrage!$B$63)&gt;0),1,0)</f>
        <v>0</v>
      </c>
      <c r="G8" s="80">
        <f>IF(AND((Abfrage!$B$41+Abfrage!$B$42+Abfrage!$B$43)&gt;0,(Abfrage!$B$50+Abfrage!$B$63)&gt;0),1,0)</f>
        <v>0</v>
      </c>
      <c r="H8" s="81">
        <v>0</v>
      </c>
      <c r="I8" s="82">
        <v>0</v>
      </c>
      <c r="J8" s="82">
        <v>0</v>
      </c>
      <c r="K8" s="83">
        <v>0</v>
      </c>
      <c r="L8" s="96">
        <f>(Abfrage!$C$32-(L11*2))</f>
        <v>-82</v>
      </c>
      <c r="M8" s="69">
        <f>(Abfrage!$C$33-(L11*2))</f>
        <v>-82</v>
      </c>
      <c r="N8" s="19">
        <f t="shared" si="0"/>
        <v>0</v>
      </c>
      <c r="O8" s="69">
        <f t="shared" si="1"/>
        <v>0</v>
      </c>
      <c r="P8" s="97">
        <f t="shared" si="2"/>
        <v>0</v>
      </c>
      <c r="Q8" s="503">
        <f>IF(AND(D8+H8&gt;0,Abfrage!$B$141&lt;1),R8,0)</f>
        <v>0</v>
      </c>
      <c r="R8" s="504">
        <v>270</v>
      </c>
    </row>
    <row r="9" spans="1:18" ht="12.75">
      <c r="A9" s="95">
        <v>9324155000</v>
      </c>
      <c r="B9" s="25" t="s">
        <v>927</v>
      </c>
      <c r="C9" s="71">
        <v>136</v>
      </c>
      <c r="D9" s="98"/>
      <c r="E9" s="63"/>
      <c r="F9" s="63"/>
      <c r="G9" s="63"/>
      <c r="H9" s="68"/>
      <c r="I9" s="62"/>
      <c r="J9" s="62"/>
      <c r="K9" s="277" t="s">
        <v>70</v>
      </c>
      <c r="L9" s="489">
        <v>41</v>
      </c>
      <c r="N9" s="19">
        <f>IF((P3+P6)&gt;0,4,0)</f>
        <v>0</v>
      </c>
      <c r="P9" s="99">
        <f>N9*C9</f>
        <v>0</v>
      </c>
      <c r="Q9" s="495">
        <f aca="true" t="shared" si="3" ref="Q9:Q15">N9*R9</f>
        <v>0</v>
      </c>
      <c r="R9" s="492">
        <v>25</v>
      </c>
    </row>
    <row r="10" spans="1:18" ht="12.75">
      <c r="A10" s="95">
        <v>9324156000</v>
      </c>
      <c r="B10" s="25" t="s">
        <v>929</v>
      </c>
      <c r="C10" s="71">
        <v>208</v>
      </c>
      <c r="D10" s="98"/>
      <c r="E10" s="63"/>
      <c r="F10" s="63"/>
      <c r="G10" s="63"/>
      <c r="H10" s="68"/>
      <c r="I10" s="62"/>
      <c r="J10" s="62"/>
      <c r="K10" s="277" t="s">
        <v>70</v>
      </c>
      <c r="L10" s="490">
        <v>41</v>
      </c>
      <c r="N10" s="19">
        <f>IF((P4+P7)&gt;0,4,0)</f>
        <v>0</v>
      </c>
      <c r="P10" s="99">
        <f aca="true" t="shared" si="4" ref="P10:P15">N10*C10</f>
        <v>0</v>
      </c>
      <c r="Q10" s="496">
        <f t="shared" si="3"/>
        <v>0</v>
      </c>
      <c r="R10" s="493">
        <v>35</v>
      </c>
    </row>
    <row r="11" spans="1:18" ht="13.5" thickBot="1">
      <c r="A11" s="95">
        <v>9324157000</v>
      </c>
      <c r="B11" s="25" t="s">
        <v>930</v>
      </c>
      <c r="C11" s="71">
        <v>292</v>
      </c>
      <c r="D11" s="98"/>
      <c r="E11" s="63"/>
      <c r="F11" s="63"/>
      <c r="G11" s="63"/>
      <c r="H11" s="68"/>
      <c r="I11" s="62"/>
      <c r="J11" s="62"/>
      <c r="K11" s="277" t="s">
        <v>70</v>
      </c>
      <c r="L11" s="491">
        <v>41</v>
      </c>
      <c r="N11" s="19">
        <f>IF((P5+P8)&gt;0,4,0)</f>
        <v>0</v>
      </c>
      <c r="P11" s="99">
        <f t="shared" si="4"/>
        <v>0</v>
      </c>
      <c r="Q11" s="496">
        <f t="shared" si="3"/>
        <v>0</v>
      </c>
      <c r="R11" s="493">
        <v>50</v>
      </c>
    </row>
    <row r="12" spans="1:18" ht="12.75">
      <c r="A12" s="95">
        <v>9324158000</v>
      </c>
      <c r="B12" s="25" t="s">
        <v>931</v>
      </c>
      <c r="C12" s="71">
        <v>25</v>
      </c>
      <c r="D12" s="98"/>
      <c r="E12" s="63"/>
      <c r="F12" s="63"/>
      <c r="G12" s="69"/>
      <c r="H12" s="66"/>
      <c r="I12" s="67"/>
      <c r="J12" s="67"/>
      <c r="K12" s="67"/>
      <c r="L12" s="67"/>
      <c r="N12" s="19">
        <f>IF(Abfrage!$B$40&gt;0,1,IF(Abfrage!$B$41&gt;0,2,IF(Abfrage!$B$42&gt;0,1,0)))</f>
        <v>0</v>
      </c>
      <c r="P12" s="99">
        <f t="shared" si="4"/>
        <v>0</v>
      </c>
      <c r="Q12" s="496">
        <f t="shared" si="3"/>
        <v>0</v>
      </c>
      <c r="R12" s="493">
        <v>15</v>
      </c>
    </row>
    <row r="13" spans="1:18" ht="12.75">
      <c r="A13" s="95">
        <v>9324159000</v>
      </c>
      <c r="B13" s="25" t="s">
        <v>932</v>
      </c>
      <c r="C13" s="71">
        <v>25</v>
      </c>
      <c r="D13" s="98"/>
      <c r="E13" s="63"/>
      <c r="F13" s="63"/>
      <c r="G13" s="69"/>
      <c r="H13" s="66"/>
      <c r="I13" s="67"/>
      <c r="J13" s="67"/>
      <c r="K13" s="67"/>
      <c r="L13" s="67"/>
      <c r="N13" s="19">
        <f>IF(Abfrage!$B$40&gt;0,1,IF(Abfrage!$B$41&gt;0,2,IF(Abfrage!$B$42&gt;0,1,0)))</f>
        <v>0</v>
      </c>
      <c r="P13" s="99">
        <f t="shared" si="4"/>
        <v>0</v>
      </c>
      <c r="Q13" s="496">
        <f t="shared" si="3"/>
        <v>0</v>
      </c>
      <c r="R13" s="493">
        <v>15</v>
      </c>
    </row>
    <row r="14" spans="1:18" ht="12.75">
      <c r="A14" s="95">
        <v>9324160000</v>
      </c>
      <c r="B14" s="25" t="s">
        <v>933</v>
      </c>
      <c r="C14" s="71">
        <v>60</v>
      </c>
      <c r="D14" s="98"/>
      <c r="E14" s="63"/>
      <c r="F14" s="63"/>
      <c r="G14" s="69"/>
      <c r="H14" s="66"/>
      <c r="I14" s="67"/>
      <c r="J14" s="67"/>
      <c r="K14" s="67"/>
      <c r="L14" s="67"/>
      <c r="N14" s="19">
        <f>IF(Abfrage!B42&gt;0,2,IF(Abfrage!B43&gt;0,4,0))</f>
        <v>0</v>
      </c>
      <c r="P14" s="99">
        <f t="shared" si="4"/>
        <v>0</v>
      </c>
      <c r="Q14" s="496">
        <f t="shared" si="3"/>
        <v>0</v>
      </c>
      <c r="R14" s="493">
        <v>15</v>
      </c>
    </row>
    <row r="15" spans="1:18" ht="13.5" thickBot="1">
      <c r="A15" s="95">
        <v>9501156000</v>
      </c>
      <c r="B15" s="25" t="s">
        <v>934</v>
      </c>
      <c r="C15" s="71">
        <v>6</v>
      </c>
      <c r="D15" s="98"/>
      <c r="E15" s="63"/>
      <c r="G15" s="69"/>
      <c r="H15" s="113" t="s">
        <v>1191</v>
      </c>
      <c r="I15" s="113" t="s">
        <v>1192</v>
      </c>
      <c r="J15" s="67"/>
      <c r="L15" s="67"/>
      <c r="N15" s="19">
        <f>IF(Abfrage!$B$45+Abfrage!$B$50&gt;0,8,IF(Abfrage!$B$56+Abfrage!$B$57+Abfrage!$B$62+Abfrage!$B$63&gt;0,12,0))</f>
        <v>0</v>
      </c>
      <c r="P15" s="99">
        <f t="shared" si="4"/>
        <v>0</v>
      </c>
      <c r="Q15" s="497">
        <f t="shared" si="3"/>
        <v>0</v>
      </c>
      <c r="R15" s="494">
        <v>10</v>
      </c>
    </row>
    <row r="16" spans="1:16" ht="12.75">
      <c r="A16" s="101">
        <v>9206065000</v>
      </c>
      <c r="B16" s="40" t="s">
        <v>1001</v>
      </c>
      <c r="C16" s="71">
        <v>411</v>
      </c>
      <c r="D16" s="1"/>
      <c r="E16" s="1"/>
      <c r="F16" s="1"/>
      <c r="G16" s="1"/>
      <c r="H16" s="111">
        <f>IF(AND(D3+E3+D4+E4+D5+E5&gt;0,Abfrage!$B$100&gt;0),1,0)</f>
        <v>0</v>
      </c>
      <c r="I16" s="114">
        <f>IF(AND(F3+G3+F4+G4+F5+G5&gt;1,Abfrage!$B$105&gt;0),1,0)</f>
        <v>0</v>
      </c>
      <c r="J16" s="1"/>
      <c r="L16" s="19">
        <f>IF(I16&gt;0,(Abfrage!$C$34*I18),0)</f>
        <v>0</v>
      </c>
      <c r="M16" s="19">
        <f>IF(H16&gt;0,Abfrage!$C$35*H18,0)</f>
        <v>0</v>
      </c>
      <c r="N16" s="69">
        <f>(L16+M16)</f>
        <v>0</v>
      </c>
      <c r="O16" s="69">
        <f>N16*1.06</f>
        <v>0</v>
      </c>
      <c r="P16" s="97">
        <f>(N16*C16)/1000</f>
        <v>0</v>
      </c>
    </row>
    <row r="17" spans="1:18" ht="13.5" thickBot="1">
      <c r="A17" s="101">
        <v>9206066000</v>
      </c>
      <c r="B17" s="40" t="s">
        <v>1002</v>
      </c>
      <c r="C17" s="71">
        <v>552</v>
      </c>
      <c r="D17" s="1"/>
      <c r="E17" s="1"/>
      <c r="F17" s="1"/>
      <c r="G17" s="1"/>
      <c r="H17" s="111">
        <f>IF(AND(D6+E6+D7+E7+D8+E8&gt;1,Abfrage!$B$100&gt;0),1,0)</f>
        <v>0</v>
      </c>
      <c r="I17" s="114">
        <f>IF(AND(F6+G6+F7+G7+F8+G8&gt;1,Abfrage!$B$105&gt;0),1,0)</f>
        <v>0</v>
      </c>
      <c r="J17" s="1"/>
      <c r="K17" s="1"/>
      <c r="L17" s="19">
        <f>IF(I17&gt;0,Abfrage!$C$34*I18,0)</f>
        <v>0</v>
      </c>
      <c r="M17" s="19">
        <f>IF(H17&gt;0,Abfrage!$C$35*H18,0)</f>
        <v>0</v>
      </c>
      <c r="N17" s="69">
        <f>(L17+M17)</f>
        <v>0</v>
      </c>
      <c r="O17" s="19">
        <f>N17*1.06</f>
        <v>0</v>
      </c>
      <c r="P17" s="109">
        <f>(N17*C17)/1000</f>
        <v>0</v>
      </c>
      <c r="Q17" s="940" t="s">
        <v>154</v>
      </c>
      <c r="R17" s="941"/>
    </row>
    <row r="18" spans="1:18" ht="13.5" thickBot="1">
      <c r="A18" s="104"/>
      <c r="B18" s="105"/>
      <c r="C18" s="71"/>
      <c r="D18" s="891" t="s">
        <v>0</v>
      </c>
      <c r="E18" s="892"/>
      <c r="F18" s="892"/>
      <c r="G18" s="892"/>
      <c r="H18" s="112">
        <f>Abfrage!C104</f>
        <v>0</v>
      </c>
      <c r="I18" s="115">
        <f>Abfrage!C109</f>
        <v>0</v>
      </c>
      <c r="J18" s="105"/>
      <c r="K18" s="105"/>
      <c r="L18" s="105"/>
      <c r="M18" s="105"/>
      <c r="N18" s="105"/>
      <c r="O18" s="84" t="s">
        <v>55</v>
      </c>
      <c r="P18" s="85">
        <f>SUM(P3:P17)</f>
        <v>0</v>
      </c>
      <c r="Q18" s="311">
        <f>P18+B40+H40+B57+D57</f>
        <v>25.920000000000005</v>
      </c>
      <c r="R18" s="310" t="s">
        <v>1041</v>
      </c>
    </row>
    <row r="19" spans="1:16" ht="14.25" thickBot="1" thickTop="1">
      <c r="A19" s="104"/>
      <c r="B19" s="105"/>
      <c r="C19" s="71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86" t="s">
        <v>1061</v>
      </c>
      <c r="P19" s="87">
        <f>P18*1.25</f>
        <v>0</v>
      </c>
    </row>
    <row r="20" spans="1:18" ht="12.75">
      <c r="A20" s="95">
        <v>9231712000</v>
      </c>
      <c r="B20" s="25" t="s">
        <v>940</v>
      </c>
      <c r="C20" s="71">
        <v>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69">
        <f aca="true" t="shared" si="5" ref="N20:N25">SUM(D3:K3)*2</f>
        <v>0</v>
      </c>
      <c r="O20" s="1"/>
      <c r="P20" s="99">
        <f aca="true" t="shared" si="6" ref="P20:P25">N20*C20</f>
        <v>0</v>
      </c>
      <c r="Q20" s="499" t="s">
        <v>156</v>
      </c>
      <c r="R20" s="500"/>
    </row>
    <row r="21" spans="1:18" ht="13.5" thickBot="1">
      <c r="A21" s="95">
        <v>9231713000</v>
      </c>
      <c r="B21" s="25" t="s">
        <v>939</v>
      </c>
      <c r="C21" s="71">
        <v>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69">
        <f t="shared" si="5"/>
        <v>0</v>
      </c>
      <c r="O21" s="1"/>
      <c r="P21" s="99">
        <f t="shared" si="6"/>
        <v>0</v>
      </c>
      <c r="Q21" s="502">
        <f>SUM(Q3:Q15)/1000</f>
        <v>0</v>
      </c>
      <c r="R21" s="501" t="s">
        <v>158</v>
      </c>
    </row>
    <row r="22" spans="1:16" ht="12.75">
      <c r="A22" s="95">
        <v>9231714000</v>
      </c>
      <c r="B22" s="25" t="s">
        <v>938</v>
      </c>
      <c r="C22" s="71">
        <v>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69">
        <f t="shared" si="5"/>
        <v>0</v>
      </c>
      <c r="O22" s="1"/>
      <c r="P22" s="99">
        <f t="shared" si="6"/>
        <v>0</v>
      </c>
    </row>
    <row r="23" spans="1:16" ht="12.75">
      <c r="A23" s="95">
        <v>9231715000</v>
      </c>
      <c r="B23" s="25" t="s">
        <v>935</v>
      </c>
      <c r="C23" s="71">
        <v>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69">
        <f t="shared" si="5"/>
        <v>0</v>
      </c>
      <c r="O23" s="1"/>
      <c r="P23" s="99">
        <f t="shared" si="6"/>
        <v>0</v>
      </c>
    </row>
    <row r="24" spans="1:16" ht="12.75">
      <c r="A24" s="95">
        <v>9231716000</v>
      </c>
      <c r="B24" s="25" t="s">
        <v>936</v>
      </c>
      <c r="C24" s="71">
        <v>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69">
        <f t="shared" si="5"/>
        <v>0</v>
      </c>
      <c r="O24" s="1"/>
      <c r="P24" s="99">
        <f t="shared" si="6"/>
        <v>0</v>
      </c>
    </row>
    <row r="25" spans="1:16" ht="13.5" thickBot="1">
      <c r="A25" s="106">
        <v>9231717000</v>
      </c>
      <c r="B25" s="107" t="s">
        <v>937</v>
      </c>
      <c r="C25" s="72">
        <v>2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08">
        <f t="shared" si="5"/>
        <v>0</v>
      </c>
      <c r="O25" s="21"/>
      <c r="P25" s="100">
        <f t="shared" si="6"/>
        <v>0</v>
      </c>
    </row>
    <row r="26" ht="13.5" thickBot="1"/>
    <row r="27" spans="1:17" ht="12.75">
      <c r="A27" s="120" t="s">
        <v>1180</v>
      </c>
      <c r="B27" s="121"/>
      <c r="C27" s="120" t="s">
        <v>11</v>
      </c>
      <c r="D27" s="126"/>
      <c r="E27" s="126"/>
      <c r="F27" s="126"/>
      <c r="G27" s="126"/>
      <c r="H27" s="126"/>
      <c r="I27" s="127"/>
      <c r="J27" s="121"/>
      <c r="K27" s="130"/>
      <c r="L27" s="131" t="s">
        <v>19</v>
      </c>
      <c r="M27" s="126"/>
      <c r="N27" s="126"/>
      <c r="O27" s="120" t="s">
        <v>71</v>
      </c>
      <c r="P27" s="126"/>
      <c r="Q27" s="121"/>
    </row>
    <row r="28" spans="1:17" ht="13.5" thickBot="1">
      <c r="A28" s="122" t="s">
        <v>877</v>
      </c>
      <c r="B28" s="123">
        <f>Abfrage!C34</f>
        <v>-40</v>
      </c>
      <c r="C28" s="93"/>
      <c r="D28" s="899" t="s">
        <v>877</v>
      </c>
      <c r="E28" s="899"/>
      <c r="F28" s="833">
        <f>Abfrage!C36</f>
        <v>-40</v>
      </c>
      <c r="G28" s="833"/>
      <c r="H28" s="1"/>
      <c r="I28" s="17"/>
      <c r="J28" s="124"/>
      <c r="K28" s="93"/>
      <c r="L28" s="1" t="s">
        <v>21</v>
      </c>
      <c r="M28" s="1"/>
      <c r="N28" s="44">
        <f>F29</f>
        <v>-40</v>
      </c>
      <c r="O28" s="93"/>
      <c r="P28" s="1"/>
      <c r="Q28" s="124"/>
    </row>
    <row r="29" spans="1:17" ht="13.5" thickBot="1">
      <c r="A29" s="122" t="s">
        <v>878</v>
      </c>
      <c r="B29" s="123">
        <f>Abfrage!C35</f>
        <v>-40</v>
      </c>
      <c r="C29" s="93"/>
      <c r="D29" s="899" t="s">
        <v>878</v>
      </c>
      <c r="E29" s="899"/>
      <c r="F29" s="833">
        <f>Abfrage!C37</f>
        <v>-40</v>
      </c>
      <c r="G29" s="833"/>
      <c r="H29" s="1"/>
      <c r="I29" s="17"/>
      <c r="J29" s="124"/>
      <c r="K29" s="93"/>
      <c r="L29" s="1" t="s">
        <v>22</v>
      </c>
      <c r="M29" s="1"/>
      <c r="N29" s="263">
        <v>400</v>
      </c>
      <c r="O29" s="93" t="s">
        <v>72</v>
      </c>
      <c r="P29" s="19">
        <f>IF(N28-100&gt;300,3,2)</f>
        <v>2</v>
      </c>
      <c r="Q29" s="124"/>
    </row>
    <row r="30" spans="1:17" ht="18.75" thickBot="1">
      <c r="A30" s="122" t="s">
        <v>1186</v>
      </c>
      <c r="B30" s="119">
        <v>200</v>
      </c>
      <c r="C30" s="900" t="s">
        <v>8</v>
      </c>
      <c r="D30" s="899"/>
      <c r="E30" s="899"/>
      <c r="F30" s="901">
        <v>250</v>
      </c>
      <c r="G30" s="902"/>
      <c r="H30" s="1"/>
      <c r="I30" s="895" t="s">
        <v>17</v>
      </c>
      <c r="J30" s="896"/>
      <c r="K30" s="93"/>
      <c r="L30" s="1" t="s">
        <v>23</v>
      </c>
      <c r="M30" s="1"/>
      <c r="N30" s="263">
        <v>600</v>
      </c>
      <c r="O30" s="93"/>
      <c r="P30" s="1"/>
      <c r="Q30" s="124"/>
    </row>
    <row r="31" spans="1:17" ht="12.75">
      <c r="A31" s="93" t="s">
        <v>1189</v>
      </c>
      <c r="B31" s="99">
        <f>IF(B42&gt;0,((ROUNDUP((B28-100)/B30+1,0))+(ROUNDUP((B29-100)/B30+1,0)))*2,0)</f>
        <v>0</v>
      </c>
      <c r="C31" s="893" t="s">
        <v>1189</v>
      </c>
      <c r="D31" s="894"/>
      <c r="E31" s="894"/>
      <c r="F31" s="894"/>
      <c r="G31" s="894"/>
      <c r="H31" s="19">
        <f>IF(H41&gt;0,((ROUNDUP((F28-100)/B30+1,0))+(ROUNDUP((F29-100)/B30+1,0)))*2,0)</f>
        <v>0</v>
      </c>
      <c r="I31" s="897">
        <f>B31+H31+B48+H48</f>
        <v>0</v>
      </c>
      <c r="J31" s="898"/>
      <c r="K31" s="93"/>
      <c r="L31" s="1" t="s">
        <v>20</v>
      </c>
      <c r="M31" s="69">
        <f>ROUNDUP((N28/N29),0)</f>
        <v>-1</v>
      </c>
      <c r="N31" s="1"/>
      <c r="O31" s="93"/>
      <c r="P31" s="1"/>
      <c r="Q31" s="124"/>
    </row>
    <row r="32" spans="1:17" ht="13.5" thickBot="1">
      <c r="A32" s="93" t="s">
        <v>1190</v>
      </c>
      <c r="B32" s="99">
        <f>IF(B43&gt;0,((ROUNDUP((B28-140)/B30+1,0))+(ROUNDUP((B29-140)/B30+1,0)))*2,0)</f>
        <v>0</v>
      </c>
      <c r="C32" s="893" t="s">
        <v>9</v>
      </c>
      <c r="D32" s="894"/>
      <c r="E32" s="894"/>
      <c r="F32" s="894"/>
      <c r="G32" s="894"/>
      <c r="H32" s="19">
        <f>IF(H42&gt;0,((ROUNDUP((F28-140)/B30+1,0))+(ROUNDUP((F29-140)/B30+1,0)))*2,0)</f>
        <v>0</v>
      </c>
      <c r="I32" s="897">
        <f>B32+H32+B49+H49</f>
        <v>0</v>
      </c>
      <c r="J32" s="898"/>
      <c r="K32" s="125"/>
      <c r="L32" s="21" t="s">
        <v>777</v>
      </c>
      <c r="M32" s="108">
        <f>ROUNDUP((N28/N30),)</f>
        <v>-1</v>
      </c>
      <c r="N32" s="21"/>
      <c r="O32" s="93"/>
      <c r="P32" s="1"/>
      <c r="Q32" s="124"/>
    </row>
    <row r="33" spans="1:17" ht="13.5" thickBot="1">
      <c r="A33" s="93" t="s">
        <v>1181</v>
      </c>
      <c r="B33" s="99">
        <f>B31+B32</f>
        <v>0</v>
      </c>
      <c r="C33" s="893" t="s">
        <v>1181</v>
      </c>
      <c r="D33" s="894"/>
      <c r="E33" s="894"/>
      <c r="F33" s="894"/>
      <c r="G33" s="894"/>
      <c r="H33" s="19">
        <f>H31+H32</f>
        <v>0</v>
      </c>
      <c r="I33" s="897">
        <f>I31+I32</f>
        <v>0</v>
      </c>
      <c r="J33" s="898"/>
      <c r="O33" s="125"/>
      <c r="P33" s="21"/>
      <c r="Q33" s="129"/>
    </row>
    <row r="34" spans="1:16" ht="12.75">
      <c r="A34" s="93" t="s">
        <v>1182</v>
      </c>
      <c r="B34" s="99">
        <f>B33</f>
        <v>0</v>
      </c>
      <c r="C34" s="893" t="s">
        <v>10</v>
      </c>
      <c r="D34" s="894"/>
      <c r="E34" s="894"/>
      <c r="F34" s="894"/>
      <c r="G34" s="894"/>
      <c r="H34" s="19">
        <f>H33</f>
        <v>0</v>
      </c>
      <c r="I34" s="897">
        <f>B34+H34+B51+H51</f>
        <v>0</v>
      </c>
      <c r="J34" s="833"/>
      <c r="K34" s="130"/>
      <c r="L34" s="137" t="s">
        <v>24</v>
      </c>
      <c r="M34" s="126"/>
      <c r="N34" s="126"/>
      <c r="O34" s="1"/>
      <c r="P34" s="124"/>
    </row>
    <row r="35" spans="1:16" ht="12.75">
      <c r="A35" s="93" t="s">
        <v>1183</v>
      </c>
      <c r="B35" s="99">
        <f>B32</f>
        <v>0</v>
      </c>
      <c r="C35" s="893" t="s">
        <v>1183</v>
      </c>
      <c r="D35" s="894"/>
      <c r="E35" s="894"/>
      <c r="F35" s="894"/>
      <c r="G35" s="894"/>
      <c r="H35" s="19">
        <f>H32</f>
        <v>0</v>
      </c>
      <c r="I35" s="897">
        <f>B35+H35+B52+H52</f>
        <v>0</v>
      </c>
      <c r="J35" s="833"/>
      <c r="K35" s="93"/>
      <c r="L35" s="1"/>
      <c r="M35" s="1"/>
      <c r="N35" s="1"/>
      <c r="O35" s="1"/>
      <c r="P35" s="124"/>
    </row>
    <row r="36" spans="1:16" ht="13.5" thickBot="1">
      <c r="A36" s="93" t="s">
        <v>1184</v>
      </c>
      <c r="B36" s="99">
        <f>B32</f>
        <v>0</v>
      </c>
      <c r="C36" s="893" t="s">
        <v>1184</v>
      </c>
      <c r="D36" s="894"/>
      <c r="E36" s="894"/>
      <c r="F36" s="894"/>
      <c r="G36" s="894"/>
      <c r="H36" s="19">
        <f>H32</f>
        <v>0</v>
      </c>
      <c r="I36" s="897">
        <f>B36+H36+B53+H53</f>
        <v>0</v>
      </c>
      <c r="J36" s="833"/>
      <c r="K36" s="125"/>
      <c r="L36" s="21"/>
      <c r="M36" s="161" t="s">
        <v>25</v>
      </c>
      <c r="N36" s="162" t="s">
        <v>33</v>
      </c>
      <c r="O36" s="161" t="s">
        <v>34</v>
      </c>
      <c r="P36" s="177" t="s">
        <v>35</v>
      </c>
    </row>
    <row r="37" spans="1:16" ht="12.75">
      <c r="A37" s="93" t="s">
        <v>1185</v>
      </c>
      <c r="B37" s="99">
        <f>B32</f>
        <v>0</v>
      </c>
      <c r="C37" s="893" t="s">
        <v>1185</v>
      </c>
      <c r="D37" s="894"/>
      <c r="E37" s="894"/>
      <c r="F37" s="894"/>
      <c r="G37" s="894"/>
      <c r="H37" s="19">
        <f>H32</f>
        <v>0</v>
      </c>
      <c r="I37" s="897">
        <f>B37+H37+B54+H54</f>
        <v>0</v>
      </c>
      <c r="J37" s="833"/>
      <c r="K37" s="919" t="s">
        <v>722</v>
      </c>
      <c r="L37" s="159" t="s">
        <v>877</v>
      </c>
      <c r="M37" s="160">
        <f>Abfrage!C32</f>
        <v>0</v>
      </c>
      <c r="N37" s="179"/>
      <c r="O37" s="180"/>
      <c r="P37" s="181"/>
    </row>
    <row r="38" spans="3:16" ht="13.5" thickBot="1">
      <c r="C38" s="903" t="s">
        <v>12</v>
      </c>
      <c r="D38" s="903"/>
      <c r="E38" s="903"/>
      <c r="F38" s="903"/>
      <c r="G38" s="903"/>
      <c r="H38" s="128">
        <f>((ROUNDUP((F28-140)/F30+1,0))+(ROUNDUP((F29-140)/F30+1,0)))*2</f>
        <v>4</v>
      </c>
      <c r="I38" s="17"/>
      <c r="J38" s="1"/>
      <c r="K38" s="920"/>
      <c r="L38" s="134" t="s">
        <v>878</v>
      </c>
      <c r="M38" s="142">
        <f>Abfrage!C33</f>
        <v>0</v>
      </c>
      <c r="N38" s="182"/>
      <c r="O38" s="183"/>
      <c r="P38" s="184"/>
    </row>
    <row r="39" spans="3:16" ht="14.25" thickBot="1" thickTop="1">
      <c r="C39" s="904"/>
      <c r="D39" s="905"/>
      <c r="E39" s="905"/>
      <c r="F39" s="905"/>
      <c r="G39" s="905"/>
      <c r="H39" s="1"/>
      <c r="I39" s="1"/>
      <c r="J39" s="1"/>
      <c r="K39" s="921"/>
      <c r="L39" s="138" t="s">
        <v>26</v>
      </c>
      <c r="M39" s="164">
        <f>SUM(M38+M37)*2</f>
        <v>0</v>
      </c>
      <c r="N39" s="169">
        <f>IF(Abfrage!B56+Abfrage!B57+Abfrage!B62+Abfrage!B63&gt;0,M39,0)</f>
        <v>0</v>
      </c>
      <c r="O39" s="213" t="s">
        <v>36</v>
      </c>
      <c r="P39" s="214" t="s">
        <v>36</v>
      </c>
    </row>
    <row r="40" spans="1:16" ht="13.5" thickBot="1">
      <c r="A40" s="308" t="s">
        <v>153</v>
      </c>
      <c r="B40" s="309">
        <f>(((B28/100)*(B29/100)*(3/100))*2.7)*1000</f>
        <v>12.960000000000003</v>
      </c>
      <c r="C40" s="906" t="s">
        <v>153</v>
      </c>
      <c r="D40" s="907"/>
      <c r="E40" s="907"/>
      <c r="F40" s="907"/>
      <c r="G40" s="907"/>
      <c r="H40" s="936">
        <f>(((F28/100)*(F29/100)*(3/100))*2.7)*1000</f>
        <v>12.960000000000003</v>
      </c>
      <c r="I40" s="936"/>
      <c r="J40" s="937"/>
      <c r="K40" s="925" t="s">
        <v>27</v>
      </c>
      <c r="L40" s="139" t="s">
        <v>877</v>
      </c>
      <c r="M40" s="143">
        <f>IF(Abfrage!$B$100+Abfrage!$B$105&lt;1,B28,0)</f>
        <v>-40</v>
      </c>
      <c r="N40" s="185"/>
      <c r="O40" s="186"/>
      <c r="P40" s="187"/>
    </row>
    <row r="41" spans="1:16" ht="13.5" thickBot="1">
      <c r="A41" s="307"/>
      <c r="C41" s="908" t="s">
        <v>15</v>
      </c>
      <c r="D41" s="909"/>
      <c r="E41" s="909"/>
      <c r="F41" s="909"/>
      <c r="G41" s="909"/>
      <c r="H41" s="274">
        <f>IF(Abfrage!$B$64+Abfrage!$B$58+Abfrage!$B$60+Abfrage!$B$66&gt;0,1,0)</f>
        <v>0</v>
      </c>
      <c r="I41" s="17"/>
      <c r="J41" s="1"/>
      <c r="K41" s="926"/>
      <c r="L41" s="135" t="s">
        <v>878</v>
      </c>
      <c r="M41" s="143">
        <f>IF(Abfrage!$B$100+Abfrage!$B$105&lt;1,B29,0)</f>
        <v>-40</v>
      </c>
      <c r="N41" s="188"/>
      <c r="O41" s="189"/>
      <c r="P41" s="190"/>
    </row>
    <row r="42" spans="1:16" ht="14.25" thickBot="1" thickTop="1">
      <c r="A42" s="270" t="s">
        <v>13</v>
      </c>
      <c r="B42" s="271">
        <f>IF(AND(Abfrage!B46+Abfrage!B51+Abfrage!B58+Abfrage!B59+Abfrage!B64+Abfrage!B65+Abfrage!$B$92&gt;0,B55&lt;1),1,0)</f>
        <v>0</v>
      </c>
      <c r="C42" s="910" t="s">
        <v>16</v>
      </c>
      <c r="D42" s="911"/>
      <c r="E42" s="911"/>
      <c r="F42" s="911"/>
      <c r="G42" s="911"/>
      <c r="H42" s="275">
        <f>IF(Abfrage!$B$65+Abfrage!$B$59+Abfrage!$B$61+Abfrage!$B$67&gt;0,1,0)</f>
        <v>0</v>
      </c>
      <c r="I42" s="20"/>
      <c r="J42" s="21"/>
      <c r="K42" s="927"/>
      <c r="L42" s="140" t="s">
        <v>26</v>
      </c>
      <c r="M42" s="163">
        <f>SUM(M41+M40)*2</f>
        <v>-160</v>
      </c>
      <c r="N42" s="212">
        <f>IF(B42&gt;0,M42,0)</f>
        <v>0</v>
      </c>
      <c r="O42" s="174">
        <f>IF(AND(Abfrage!B47+Abfrage!B52+Abfrage!B60+Abfrage!B61+Abfrage!B67+Abfrage!B66&gt;0,Abfrage!B89&lt;1),M42,0)</f>
        <v>0</v>
      </c>
      <c r="P42" s="178">
        <f>IF(AND(Abfrage!B93+Abfrage!B91&gt;0,Abfrage!B89&gt;0),M42,0)</f>
        <v>0</v>
      </c>
    </row>
    <row r="43" spans="1:16" ht="13.5" thickBot="1">
      <c r="A43" s="272" t="s">
        <v>14</v>
      </c>
      <c r="B43" s="273">
        <f>IF(AND(Abfrage!B47+Abfrage!B52+Abfrage!B60+Abfrage!B61+Abfrage!B67+Abfrage!B66+Abfrage!$B$93&gt;0,B56&lt;1),1,0)</f>
        <v>0</v>
      </c>
      <c r="C43" s="912" t="s">
        <v>68</v>
      </c>
      <c r="D43" s="913"/>
      <c r="E43" s="913"/>
      <c r="F43" s="913"/>
      <c r="G43" s="913"/>
      <c r="H43" s="126"/>
      <c r="I43" s="126"/>
      <c r="J43" s="121"/>
      <c r="K43" s="928" t="s">
        <v>28</v>
      </c>
      <c r="L43" s="141" t="s">
        <v>877</v>
      </c>
      <c r="M43" s="144">
        <f>F28</f>
        <v>-40</v>
      </c>
      <c r="N43" s="191"/>
      <c r="O43" s="192"/>
      <c r="P43" s="193"/>
    </row>
    <row r="44" spans="1:16" ht="13.5" thickBot="1">
      <c r="A44" s="120" t="s">
        <v>67</v>
      </c>
      <c r="B44" s="121"/>
      <c r="C44" s="904"/>
      <c r="D44" s="905"/>
      <c r="E44" s="905"/>
      <c r="F44" s="905"/>
      <c r="G44" s="905"/>
      <c r="H44" s="1"/>
      <c r="I44" s="1"/>
      <c r="J44" s="124"/>
      <c r="K44" s="929"/>
      <c r="L44" s="136" t="s">
        <v>878</v>
      </c>
      <c r="M44" s="145">
        <f>F29</f>
        <v>-40</v>
      </c>
      <c r="N44" s="194"/>
      <c r="O44" s="195"/>
      <c r="P44" s="196"/>
    </row>
    <row r="45" spans="1:16" ht="13.5" thickTop="1">
      <c r="A45" s="265" t="s">
        <v>57</v>
      </c>
      <c r="B45" s="268">
        <f>Abfrage!C113</f>
        <v>0</v>
      </c>
      <c r="C45" s="900" t="s">
        <v>58</v>
      </c>
      <c r="D45" s="899"/>
      <c r="E45" s="899"/>
      <c r="F45" s="935">
        <f>Abfrage!C119</f>
        <v>0</v>
      </c>
      <c r="G45" s="935"/>
      <c r="H45" s="1"/>
      <c r="I45" s="1"/>
      <c r="J45" s="124"/>
      <c r="K45" s="929"/>
      <c r="L45" s="136" t="s">
        <v>26</v>
      </c>
      <c r="M45" s="165">
        <f>SUM(M44+M43)*2</f>
        <v>-160</v>
      </c>
      <c r="N45" s="170">
        <f>IF($H$41+Abfrage!$B$97+Abfrage!$B$98+Abfrage!$B$48&gt;0,M45,0)</f>
        <v>0</v>
      </c>
      <c r="O45" s="175">
        <f>IF(H42&gt;0,M45,0)</f>
        <v>0</v>
      </c>
      <c r="P45" s="215" t="s">
        <v>36</v>
      </c>
    </row>
    <row r="46" spans="1:16" ht="12.75">
      <c r="A46" s="122" t="s">
        <v>56</v>
      </c>
      <c r="B46" s="269">
        <f>Abfrage!C114</f>
        <v>0</v>
      </c>
      <c r="C46" s="900" t="s">
        <v>59</v>
      </c>
      <c r="D46" s="899"/>
      <c r="E46" s="899"/>
      <c r="F46" s="935">
        <f>Abfrage!C120</f>
        <v>0</v>
      </c>
      <c r="G46" s="935"/>
      <c r="H46" s="1"/>
      <c r="I46" s="1"/>
      <c r="J46" s="124"/>
      <c r="K46" s="916" t="s">
        <v>31</v>
      </c>
      <c r="L46" s="149" t="s">
        <v>877</v>
      </c>
      <c r="M46" s="150">
        <f>Abfrage!C113</f>
        <v>0</v>
      </c>
      <c r="N46" s="197"/>
      <c r="O46" s="198"/>
      <c r="P46" s="199"/>
    </row>
    <row r="47" spans="1:16" ht="13.5" thickBot="1">
      <c r="A47" s="93"/>
      <c r="B47" s="124"/>
      <c r="C47" s="93"/>
      <c r="D47" s="19"/>
      <c r="E47" s="19"/>
      <c r="F47" s="19"/>
      <c r="G47" s="19"/>
      <c r="H47" s="1"/>
      <c r="I47" s="1"/>
      <c r="J47" s="124"/>
      <c r="K47" s="917"/>
      <c r="L47" s="151" t="s">
        <v>878</v>
      </c>
      <c r="M47" s="152">
        <f>Abfrage!C114</f>
        <v>0</v>
      </c>
      <c r="N47" s="200"/>
      <c r="O47" s="201"/>
      <c r="P47" s="202"/>
    </row>
    <row r="48" spans="1:16" ht="13.5" thickTop="1">
      <c r="A48" s="93" t="s">
        <v>1189</v>
      </c>
      <c r="B48" s="99">
        <f>IF(B55&gt;0,((ROUNDUP((B45-100)/B30+1,0))+(ROUNDUP((B46-100)/B30+1,0)))*2,0)</f>
        <v>0</v>
      </c>
      <c r="C48" s="893" t="s">
        <v>1189</v>
      </c>
      <c r="D48" s="894"/>
      <c r="E48" s="894"/>
      <c r="F48" s="894"/>
      <c r="G48" s="894"/>
      <c r="H48" s="19">
        <f>IF(H55&gt;0,((ROUNDUP((F45-100)/B30+1,0))+(ROUNDUP((F46-100)/B30+1,0)))*2,0)</f>
        <v>0</v>
      </c>
      <c r="I48" s="1"/>
      <c r="J48" s="124"/>
      <c r="K48" s="918"/>
      <c r="L48" s="153" t="s">
        <v>26</v>
      </c>
      <c r="M48" s="166">
        <f>SUM(M47+M46)*2</f>
        <v>0</v>
      </c>
      <c r="N48" s="172">
        <f>IF(AND(Abfrage!$B$116&gt;0,M46+M47&gt;0),M48,0)</f>
        <v>0</v>
      </c>
      <c r="O48" s="176">
        <f>IF(AND(Abfrage!$B$117&gt;0,M46+M47&gt;0),M48,0)</f>
        <v>0</v>
      </c>
      <c r="P48" s="171">
        <f>IF(OR(AND(Abfrage!$B$115&gt;0,M46+M47&gt;0),AND(Abfrage!B111&gt;0,M46+M47&gt;0)),M48,0)</f>
        <v>0</v>
      </c>
    </row>
    <row r="49" spans="1:16" ht="12.75">
      <c r="A49" s="93" t="s">
        <v>1190</v>
      </c>
      <c r="B49" s="99">
        <f>IF(B56&gt;0,((ROUNDUP((B45-140)/B30+1,0))+(ROUNDUP((B46-140)/B30+1,0)))*2,0)</f>
        <v>0</v>
      </c>
      <c r="C49" s="893" t="s">
        <v>9</v>
      </c>
      <c r="D49" s="894"/>
      <c r="E49" s="894"/>
      <c r="F49" s="894"/>
      <c r="G49" s="894"/>
      <c r="H49" s="19">
        <f>IF(H56&gt;0,((ROUNDUP((F45-140)/B30+1,0))+(ROUNDUP((F46-140)/B30+1,0)))*2,0)</f>
        <v>0</v>
      </c>
      <c r="I49" s="1"/>
      <c r="J49" s="124"/>
      <c r="K49" s="922" t="s">
        <v>32</v>
      </c>
      <c r="L49" s="154" t="s">
        <v>877</v>
      </c>
      <c r="M49" s="155">
        <f>Abfrage!C119</f>
        <v>0</v>
      </c>
      <c r="N49" s="203"/>
      <c r="O49" s="204"/>
      <c r="P49" s="205"/>
    </row>
    <row r="50" spans="1:16" ht="13.5" thickBot="1">
      <c r="A50" s="93" t="s">
        <v>1181</v>
      </c>
      <c r="B50" s="99">
        <f>B48+B49</f>
        <v>0</v>
      </c>
      <c r="C50" s="893" t="s">
        <v>1181</v>
      </c>
      <c r="D50" s="894"/>
      <c r="E50" s="894"/>
      <c r="F50" s="894"/>
      <c r="G50" s="894"/>
      <c r="H50" s="19">
        <f>H48+H49</f>
        <v>0</v>
      </c>
      <c r="I50" s="1"/>
      <c r="J50" s="124"/>
      <c r="K50" s="923"/>
      <c r="L50" s="156" t="s">
        <v>878</v>
      </c>
      <c r="M50" s="157">
        <f>Abfrage!C120</f>
        <v>0</v>
      </c>
      <c r="N50" s="206"/>
      <c r="O50" s="207"/>
      <c r="P50" s="208"/>
    </row>
    <row r="51" spans="1:16" ht="13.5" thickTop="1">
      <c r="A51" s="93" t="s">
        <v>1182</v>
      </c>
      <c r="B51" s="99">
        <f>B50</f>
        <v>0</v>
      </c>
      <c r="C51" s="893" t="s">
        <v>10</v>
      </c>
      <c r="D51" s="894"/>
      <c r="E51" s="894"/>
      <c r="F51" s="894"/>
      <c r="G51" s="894"/>
      <c r="H51" s="19">
        <f>H50</f>
        <v>0</v>
      </c>
      <c r="I51" s="1"/>
      <c r="J51" s="124"/>
      <c r="K51" s="924"/>
      <c r="L51" s="158" t="s">
        <v>26</v>
      </c>
      <c r="M51" s="167">
        <f>SUM(M50+M49)*2</f>
        <v>0</v>
      </c>
      <c r="N51" s="173">
        <f>IF(AND(Abfrage!$B$122&gt;0,M49+M50&gt;0),M51,0)</f>
        <v>0</v>
      </c>
      <c r="O51" s="173">
        <f>IF(AND(Abfrage!$B$123&gt;0,$M$49+$M$50&gt;0),$M$51,0)</f>
        <v>0</v>
      </c>
      <c r="P51" s="216">
        <f>IF(AND(Abfrage!$B$121&gt;0,$M$49+$M$50&gt;0),$M$51,0)</f>
        <v>0</v>
      </c>
    </row>
    <row r="52" spans="1:16" ht="13.5" thickBot="1">
      <c r="A52" s="93" t="s">
        <v>1183</v>
      </c>
      <c r="B52" s="99">
        <f>$B$49</f>
        <v>0</v>
      </c>
      <c r="C52" s="893" t="s">
        <v>1183</v>
      </c>
      <c r="D52" s="894"/>
      <c r="E52" s="894"/>
      <c r="F52" s="894"/>
      <c r="G52" s="894"/>
      <c r="H52" s="19">
        <f>H49</f>
        <v>0</v>
      </c>
      <c r="I52" s="1"/>
      <c r="J52" s="124"/>
      <c r="K52" s="914" t="s">
        <v>30</v>
      </c>
      <c r="L52" s="147" t="s">
        <v>29</v>
      </c>
      <c r="M52" s="148">
        <f>N16+N17</f>
        <v>0</v>
      </c>
      <c r="N52" s="209"/>
      <c r="O52" s="210"/>
      <c r="P52" s="211"/>
    </row>
    <row r="53" spans="1:16" ht="14.25" thickBot="1" thickTop="1">
      <c r="A53" s="93" t="s">
        <v>1184</v>
      </c>
      <c r="B53" s="99">
        <f>$B$49</f>
        <v>0</v>
      </c>
      <c r="C53" s="893" t="s">
        <v>1184</v>
      </c>
      <c r="D53" s="894"/>
      <c r="E53" s="894"/>
      <c r="F53" s="894"/>
      <c r="G53" s="894"/>
      <c r="H53" s="19">
        <f>H49</f>
        <v>0</v>
      </c>
      <c r="I53" s="1"/>
      <c r="J53" s="124"/>
      <c r="K53" s="915"/>
      <c r="L53" s="146" t="s">
        <v>26</v>
      </c>
      <c r="M53" s="168">
        <f>M52*2</f>
        <v>0</v>
      </c>
      <c r="N53" s="217" t="s">
        <v>36</v>
      </c>
      <c r="O53" s="217" t="s">
        <v>36</v>
      </c>
      <c r="P53" s="218" t="s">
        <v>36</v>
      </c>
    </row>
    <row r="54" spans="1:16" ht="12.75">
      <c r="A54" s="93" t="s">
        <v>1185</v>
      </c>
      <c r="B54" s="99">
        <f>$B$49</f>
        <v>0</v>
      </c>
      <c r="C54" s="893" t="s">
        <v>1185</v>
      </c>
      <c r="D54" s="894"/>
      <c r="E54" s="894"/>
      <c r="F54" s="894"/>
      <c r="G54" s="894"/>
      <c r="H54" s="19">
        <f>H49</f>
        <v>0</v>
      </c>
      <c r="I54" s="1"/>
      <c r="J54" s="124"/>
      <c r="M54" s="133" t="s">
        <v>37</v>
      </c>
      <c r="N54" s="219">
        <f>(N39+N42+N45+N48+N51)</f>
        <v>0</v>
      </c>
      <c r="O54" s="219">
        <f>(O51+O48+O45+O42)</f>
        <v>0</v>
      </c>
      <c r="P54" s="219">
        <f>ROUNDUP((P51+P48+P42)/2000,0)</f>
        <v>0</v>
      </c>
    </row>
    <row r="55" spans="1:16" ht="12.75">
      <c r="A55" s="270" t="s">
        <v>64</v>
      </c>
      <c r="B55" s="271">
        <f>IF(Abfrage!B116&gt;0,1,0)</f>
        <v>0</v>
      </c>
      <c r="C55" s="908" t="s">
        <v>66</v>
      </c>
      <c r="D55" s="909"/>
      <c r="E55" s="909"/>
      <c r="F55" s="909"/>
      <c r="G55" s="909"/>
      <c r="H55" s="276">
        <f>IF(Abfrage!B122&gt;0,1,0)</f>
        <v>0</v>
      </c>
      <c r="I55" s="1"/>
      <c r="J55" s="124"/>
      <c r="N55" s="220" t="s">
        <v>1063</v>
      </c>
      <c r="O55" s="220" t="s">
        <v>1063</v>
      </c>
      <c r="P55" s="220" t="s">
        <v>928</v>
      </c>
    </row>
    <row r="56" spans="1:10" ht="13.5" thickBot="1">
      <c r="A56" s="272" t="s">
        <v>65</v>
      </c>
      <c r="B56" s="271">
        <f>IF(Abfrage!B117&gt;0,1,0)</f>
        <v>0</v>
      </c>
      <c r="C56" s="910" t="s">
        <v>65</v>
      </c>
      <c r="D56" s="911"/>
      <c r="E56" s="911"/>
      <c r="F56" s="911"/>
      <c r="G56" s="911"/>
      <c r="H56" s="273">
        <f>IF(Abfrage!B123&gt;0,1,0)</f>
        <v>0</v>
      </c>
      <c r="I56" s="21"/>
      <c r="J56" s="129"/>
    </row>
    <row r="57" spans="1:10" ht="13.5" thickBot="1">
      <c r="A57" s="308" t="s">
        <v>153</v>
      </c>
      <c r="B57" s="309">
        <f>(((B45/100)*(B46/100)*(3/100))*2.7)*1000</f>
        <v>0</v>
      </c>
      <c r="C57" s="308" t="s">
        <v>153</v>
      </c>
      <c r="D57" s="938">
        <f>(((F45/100)*(F46/100)*(3/100))*2.7)*1000</f>
        <v>0</v>
      </c>
      <c r="E57" s="938"/>
      <c r="F57" s="938"/>
      <c r="G57" s="938"/>
      <c r="H57" s="938"/>
      <c r="I57" s="938"/>
      <c r="J57" s="939"/>
    </row>
    <row r="58" spans="1:2" ht="12.75">
      <c r="A58" s="264" t="s">
        <v>40</v>
      </c>
      <c r="B58" s="124"/>
    </row>
    <row r="59" spans="1:10" ht="12.75">
      <c r="A59" s="222" t="s">
        <v>41</v>
      </c>
      <c r="B59" s="223">
        <f>IF(AND(B42&gt;0,B61&lt;1),1,0)</f>
        <v>0</v>
      </c>
      <c r="C59" s="266"/>
      <c r="D59" s="12"/>
      <c r="E59" s="12"/>
      <c r="F59" s="12"/>
      <c r="G59" s="12"/>
      <c r="H59" s="12"/>
      <c r="I59" s="12"/>
      <c r="J59" s="12"/>
    </row>
    <row r="60" spans="1:10" ht="12.75">
      <c r="A60" s="222" t="s">
        <v>44</v>
      </c>
      <c r="B60" s="223">
        <f>IF(H41&gt;0,1,0)</f>
        <v>0</v>
      </c>
      <c r="C60" s="12"/>
      <c r="D60" s="932"/>
      <c r="E60" s="932"/>
      <c r="F60" s="930"/>
      <c r="G60" s="930"/>
      <c r="H60" s="12"/>
      <c r="I60" s="12"/>
      <c r="J60" s="12"/>
    </row>
    <row r="61" spans="1:10" ht="12.75">
      <c r="A61" s="222" t="s">
        <v>60</v>
      </c>
      <c r="B61" s="223">
        <f>IF(Abfrage!B116&gt;0,1,0)</f>
        <v>0</v>
      </c>
      <c r="C61" s="12"/>
      <c r="D61" s="932"/>
      <c r="E61" s="932"/>
      <c r="F61" s="930"/>
      <c r="G61" s="930"/>
      <c r="H61" s="12"/>
      <c r="I61" s="12"/>
      <c r="J61" s="12"/>
    </row>
    <row r="62" spans="1:10" ht="12.75">
      <c r="A62" s="222" t="s">
        <v>61</v>
      </c>
      <c r="B62" s="223">
        <f>IF(Abfrage!B122&gt;0,1,0)</f>
        <v>0</v>
      </c>
      <c r="C62" s="932"/>
      <c r="D62" s="932"/>
      <c r="E62" s="932"/>
      <c r="F62" s="933"/>
      <c r="G62" s="933"/>
      <c r="H62" s="12"/>
      <c r="I62" s="930"/>
      <c r="J62" s="930"/>
    </row>
    <row r="63" spans="1:10" ht="12.75">
      <c r="A63" s="224" t="s">
        <v>46</v>
      </c>
      <c r="B63" s="225">
        <f>SUM(B59:B62)</f>
        <v>0</v>
      </c>
      <c r="C63" s="931"/>
      <c r="D63" s="931"/>
      <c r="E63" s="931"/>
      <c r="F63" s="931"/>
      <c r="G63" s="931"/>
      <c r="H63" s="267"/>
      <c r="I63" s="930"/>
      <c r="J63" s="930"/>
    </row>
    <row r="64" spans="1:10" ht="12.75">
      <c r="A64" s="226" t="s">
        <v>43</v>
      </c>
      <c r="B64" s="227">
        <f>IF(AND(B43&gt;0,B66&lt;1),1,0)</f>
        <v>0</v>
      </c>
      <c r="C64" s="931"/>
      <c r="D64" s="931"/>
      <c r="E64" s="931"/>
      <c r="F64" s="931"/>
      <c r="G64" s="931"/>
      <c r="H64" s="267"/>
      <c r="I64" s="930"/>
      <c r="J64" s="930"/>
    </row>
    <row r="65" spans="1:10" ht="12.75">
      <c r="A65" s="226" t="s">
        <v>45</v>
      </c>
      <c r="B65" s="227">
        <f>IF(H42&gt;0,1,0)</f>
        <v>0</v>
      </c>
      <c r="C65" s="931"/>
      <c r="D65" s="931"/>
      <c r="E65" s="931"/>
      <c r="F65" s="931"/>
      <c r="G65" s="931"/>
      <c r="H65" s="267"/>
      <c r="I65" s="930"/>
      <c r="J65" s="930"/>
    </row>
    <row r="66" spans="1:10" ht="12.75">
      <c r="A66" s="226" t="s">
        <v>62</v>
      </c>
      <c r="B66" s="227">
        <f>IF(Abfrage!B117&gt;0,1,0)</f>
        <v>0</v>
      </c>
      <c r="C66" s="931"/>
      <c r="D66" s="931"/>
      <c r="E66" s="931"/>
      <c r="F66" s="931"/>
      <c r="G66" s="931"/>
      <c r="H66" s="267"/>
      <c r="I66" s="930"/>
      <c r="J66" s="930"/>
    </row>
    <row r="67" spans="1:10" ht="12.75">
      <c r="A67" s="226" t="s">
        <v>63</v>
      </c>
      <c r="B67" s="227">
        <f>IF(Abfrage!B123&gt;0,1,0)</f>
        <v>0</v>
      </c>
      <c r="C67" s="931"/>
      <c r="D67" s="931"/>
      <c r="E67" s="931"/>
      <c r="F67" s="931"/>
      <c r="G67" s="931"/>
      <c r="H67" s="267"/>
      <c r="I67" s="930"/>
      <c r="J67" s="930"/>
    </row>
    <row r="68" spans="1:10" ht="12.75">
      <c r="A68" s="226" t="s">
        <v>777</v>
      </c>
      <c r="B68" s="227">
        <f>IF(Abfrage!$B$56+Abfrage!$B$57+Abfrage!$B$62+Abfrage!$B$63&gt;0,1,0)</f>
        <v>0</v>
      </c>
      <c r="C68" s="931"/>
      <c r="D68" s="931"/>
      <c r="E68" s="931"/>
      <c r="F68" s="931"/>
      <c r="G68" s="931"/>
      <c r="H68" s="267"/>
      <c r="I68" s="930"/>
      <c r="J68" s="930"/>
    </row>
    <row r="69" spans="1:10" ht="12.75">
      <c r="A69" s="228" t="s">
        <v>47</v>
      </c>
      <c r="B69" s="225">
        <f>SUM(B64:B68)</f>
        <v>0</v>
      </c>
      <c r="C69" s="931"/>
      <c r="D69" s="931"/>
      <c r="E69" s="931"/>
      <c r="F69" s="931"/>
      <c r="G69" s="931"/>
      <c r="H69" s="267"/>
      <c r="I69" s="930"/>
      <c r="J69" s="930"/>
    </row>
    <row r="70" spans="1:10" ht="12.75">
      <c r="A70" s="229" t="s">
        <v>42</v>
      </c>
      <c r="B70" s="230">
        <f>IF(Abfrage!$B$97+Abfrage!$B$98&gt;0,1,0)</f>
        <v>0</v>
      </c>
      <c r="C70" s="934"/>
      <c r="D70" s="934"/>
      <c r="E70" s="934"/>
      <c r="F70" s="934"/>
      <c r="G70" s="934"/>
      <c r="H70" s="267"/>
      <c r="I70" s="12"/>
      <c r="J70" s="12"/>
    </row>
    <row r="71" spans="1:10" ht="13.5" thickBot="1">
      <c r="A71" s="231" t="s">
        <v>48</v>
      </c>
      <c r="B71" s="232">
        <f>B70</f>
        <v>0</v>
      </c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518"/>
      <c r="B72" s="519"/>
      <c r="C72" s="12"/>
      <c r="D72" s="12"/>
      <c r="E72" s="12"/>
      <c r="F72" s="12"/>
      <c r="G72" s="12"/>
      <c r="H72" s="12"/>
      <c r="I72" s="12"/>
      <c r="J72" s="12"/>
    </row>
    <row r="73" spans="1:2" ht="12.75">
      <c r="A73" s="93" t="s">
        <v>167</v>
      </c>
      <c r="B73" s="124"/>
    </row>
    <row r="74" spans="1:2" ht="12.75">
      <c r="A74" s="93" t="s">
        <v>168</v>
      </c>
      <c r="B74" s="124"/>
    </row>
    <row r="75" spans="1:2" ht="12.75">
      <c r="A75" s="93" t="s">
        <v>169</v>
      </c>
      <c r="B75" s="124"/>
    </row>
    <row r="76" spans="1:2" ht="12.75">
      <c r="A76" s="93" t="s">
        <v>170</v>
      </c>
      <c r="B76" s="124"/>
    </row>
    <row r="77" spans="1:2" ht="12.75">
      <c r="A77" s="93" t="s">
        <v>171</v>
      </c>
      <c r="B77" s="124"/>
    </row>
    <row r="78" spans="1:2" ht="12.75">
      <c r="A78" s="93" t="s">
        <v>172</v>
      </c>
      <c r="B78" s="124"/>
    </row>
    <row r="79" spans="1:2" ht="12.75">
      <c r="A79" s="93" t="s">
        <v>207</v>
      </c>
      <c r="B79" s="124"/>
    </row>
    <row r="80" spans="1:2" ht="12.75">
      <c r="A80" s="93"/>
      <c r="B80" s="124"/>
    </row>
    <row r="81" spans="1:2" ht="13.5" thickBot="1">
      <c r="A81" s="125"/>
      <c r="B81" s="129"/>
    </row>
  </sheetData>
  <mergeCells count="75">
    <mergeCell ref="H40:J40"/>
    <mergeCell ref="D57:J57"/>
    <mergeCell ref="Q17:R17"/>
    <mergeCell ref="C54:G54"/>
    <mergeCell ref="C55:G55"/>
    <mergeCell ref="C56:G56"/>
    <mergeCell ref="F45:G45"/>
    <mergeCell ref="C45:E45"/>
    <mergeCell ref="C46:E46"/>
    <mergeCell ref="C48:G48"/>
    <mergeCell ref="F46:G46"/>
    <mergeCell ref="C49:G49"/>
    <mergeCell ref="C50:G50"/>
    <mergeCell ref="C51:G51"/>
    <mergeCell ref="C52:G52"/>
    <mergeCell ref="C53:G53"/>
    <mergeCell ref="C70:G70"/>
    <mergeCell ref="C68:G68"/>
    <mergeCell ref="C64:G64"/>
    <mergeCell ref="D60:E60"/>
    <mergeCell ref="F60:G60"/>
    <mergeCell ref="D61:E61"/>
    <mergeCell ref="F61:G61"/>
    <mergeCell ref="I68:J68"/>
    <mergeCell ref="C69:G69"/>
    <mergeCell ref="I69:J69"/>
    <mergeCell ref="C66:G66"/>
    <mergeCell ref="I66:J66"/>
    <mergeCell ref="C67:G67"/>
    <mergeCell ref="I67:J67"/>
    <mergeCell ref="I64:J64"/>
    <mergeCell ref="C65:G65"/>
    <mergeCell ref="I65:J65"/>
    <mergeCell ref="C62:E62"/>
    <mergeCell ref="F62:G62"/>
    <mergeCell ref="I62:J62"/>
    <mergeCell ref="C63:G63"/>
    <mergeCell ref="I63:J63"/>
    <mergeCell ref="K52:K53"/>
    <mergeCell ref="K46:K48"/>
    <mergeCell ref="K37:K39"/>
    <mergeCell ref="K49:K51"/>
    <mergeCell ref="K40:K42"/>
    <mergeCell ref="K43:K45"/>
    <mergeCell ref="C44:G44"/>
    <mergeCell ref="C40:G40"/>
    <mergeCell ref="C41:G41"/>
    <mergeCell ref="C42:G42"/>
    <mergeCell ref="C43:G43"/>
    <mergeCell ref="I34:J34"/>
    <mergeCell ref="I35:J35"/>
    <mergeCell ref="I36:J36"/>
    <mergeCell ref="I37:J37"/>
    <mergeCell ref="C36:G36"/>
    <mergeCell ref="C37:G37"/>
    <mergeCell ref="C38:G38"/>
    <mergeCell ref="C39:G39"/>
    <mergeCell ref="C31:G31"/>
    <mergeCell ref="C32:G32"/>
    <mergeCell ref="C34:G34"/>
    <mergeCell ref="C35:G35"/>
    <mergeCell ref="F28:G28"/>
    <mergeCell ref="F29:G29"/>
    <mergeCell ref="C30:E30"/>
    <mergeCell ref="F30:G30"/>
    <mergeCell ref="D1:G1"/>
    <mergeCell ref="H1:K1"/>
    <mergeCell ref="D18:G18"/>
    <mergeCell ref="C33:G33"/>
    <mergeCell ref="I30:J30"/>
    <mergeCell ref="I31:J31"/>
    <mergeCell ref="I32:J32"/>
    <mergeCell ref="I33:J33"/>
    <mergeCell ref="D29:E29"/>
    <mergeCell ref="D28:E28"/>
  </mergeCells>
  <conditionalFormatting sqref="B3:B15 A9:A15">
    <cfRule type="expression" priority="1" dxfId="0" stopIfTrue="1">
      <formula>COUNTIF(A3:A296,A3)&gt;1</formula>
    </cfRule>
    <cfRule type="cellIs" priority="2" dxfId="1" operator="between" stopIfTrue="1">
      <formula>9206000000</formula>
      <formula>9206100000</formula>
    </cfRule>
  </conditionalFormatting>
  <conditionalFormatting sqref="A20:B25">
    <cfRule type="expression" priority="3" dxfId="0" stopIfTrue="1">
      <formula>COUNTIF(A20:A315,A20)&gt;1</formula>
    </cfRule>
    <cfRule type="cellIs" priority="4" dxfId="1" operator="between" stopIfTrue="1">
      <formula>9206000000</formula>
      <formula>9206100000</formula>
    </cfRule>
  </conditionalFormatting>
  <printOptions gridLines="1" headings="1"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Z500"/>
  <sheetViews>
    <sheetView workbookViewId="0" topLeftCell="A1">
      <selection activeCell="E4" sqref="E4:M4"/>
    </sheetView>
  </sheetViews>
  <sheetFormatPr defaultColWidth="11.421875" defaultRowHeight="12.75"/>
  <cols>
    <col min="1" max="1" width="14.7109375" style="0" customWidth="1"/>
    <col min="2" max="2" width="11.140625" style="0" bestFit="1" customWidth="1"/>
    <col min="3" max="3" width="37.28125" style="0" customWidth="1"/>
    <col min="4" max="4" width="11.421875" style="33" customWidth="1"/>
    <col min="5" max="15" width="2.7109375" style="0" customWidth="1"/>
    <col min="16" max="16" width="20.7109375" style="286" customWidth="1"/>
    <col min="17" max="17" width="7.7109375" style="33" customWidth="1"/>
    <col min="18" max="18" width="8.140625" style="279" bestFit="1" customWidth="1"/>
    <col min="19" max="19" width="2.7109375" style="0" customWidth="1"/>
    <col min="20" max="20" width="16.421875" style="284" bestFit="1" customWidth="1"/>
    <col min="21" max="21" width="2.7109375" style="0" customWidth="1"/>
  </cols>
  <sheetData>
    <row r="1" spans="1:20" ht="72" customHeight="1">
      <c r="A1" t="s">
        <v>73</v>
      </c>
      <c r="B1" s="33" t="s">
        <v>74</v>
      </c>
      <c r="C1" t="s">
        <v>911</v>
      </c>
      <c r="P1" s="285" t="s">
        <v>138</v>
      </c>
      <c r="Q1" s="287" t="s">
        <v>140</v>
      </c>
      <c r="R1" s="280" t="s">
        <v>136</v>
      </c>
      <c r="T1" s="281" t="s">
        <v>137</v>
      </c>
    </row>
    <row r="2" spans="1:20" ht="12.75">
      <c r="A2" t="s">
        <v>75</v>
      </c>
      <c r="B2" s="33">
        <v>55</v>
      </c>
      <c r="C2" t="s">
        <v>76</v>
      </c>
      <c r="D2" s="33">
        <v>2</v>
      </c>
      <c r="P2" s="286" t="s">
        <v>141</v>
      </c>
      <c r="Q2" s="288">
        <f>IF(Abfrage!$B$69+Abfrage!$B$71=1,"R",IF(Abfrage!$B$70+Abfrage!$B$72=1,"L",0))</f>
        <v>0</v>
      </c>
      <c r="R2" s="282"/>
      <c r="T2" s="283"/>
    </row>
    <row r="3" spans="1:20" ht="12.75">
      <c r="A3" t="s">
        <v>78</v>
      </c>
      <c r="B3" s="33">
        <v>55</v>
      </c>
      <c r="C3" t="s">
        <v>77</v>
      </c>
      <c r="D3" s="33">
        <v>3</v>
      </c>
      <c r="P3" s="286" t="s">
        <v>142</v>
      </c>
      <c r="Q3" s="288">
        <f>IF(Abfrage!$B$69+Abfrage!$B$71=1,"R",IF(Abfrage!$B$70+Abfrage!$B$72=1,"L",0))</f>
        <v>0</v>
      </c>
      <c r="R3" s="282"/>
      <c r="T3" s="283"/>
    </row>
    <row r="4" spans="1:20" ht="12.75">
      <c r="A4" t="s">
        <v>79</v>
      </c>
      <c r="B4" s="33">
        <v>55</v>
      </c>
      <c r="C4" t="s">
        <v>87</v>
      </c>
      <c r="D4" s="33">
        <v>4</v>
      </c>
      <c r="P4" s="286" t="s">
        <v>139</v>
      </c>
      <c r="Q4" s="288">
        <f>IF(Abfrage!$B$69+Abfrage!$B$71=1,"L",IF(Abfrage!$B$70+Abfrage!$B$72=1,"R",0))</f>
        <v>0</v>
      </c>
      <c r="R4" s="282"/>
      <c r="T4" s="283"/>
    </row>
    <row r="5" spans="2:20" ht="12.75">
      <c r="B5" s="33">
        <v>55</v>
      </c>
      <c r="C5" s="219" t="s">
        <v>103</v>
      </c>
      <c r="D5" s="33">
        <v>5</v>
      </c>
      <c r="P5" s="291"/>
      <c r="Q5" s="290"/>
      <c r="R5" s="292"/>
      <c r="S5" s="289"/>
      <c r="T5" s="283"/>
    </row>
    <row r="6" spans="2:20" ht="12.75">
      <c r="B6" s="33">
        <v>55</v>
      </c>
      <c r="C6" s="219" t="s">
        <v>103</v>
      </c>
      <c r="D6" s="33">
        <v>6</v>
      </c>
      <c r="P6" s="291"/>
      <c r="Q6" s="290"/>
      <c r="R6" s="292"/>
      <c r="S6" s="289"/>
      <c r="T6" s="283"/>
    </row>
    <row r="7" spans="2:20" ht="12.75">
      <c r="B7" s="33">
        <v>55</v>
      </c>
      <c r="C7" s="219" t="s">
        <v>103</v>
      </c>
      <c r="D7" s="33">
        <v>7</v>
      </c>
      <c r="P7" s="291"/>
      <c r="Q7" s="290"/>
      <c r="R7" s="292"/>
      <c r="S7" s="289"/>
      <c r="T7" s="283"/>
    </row>
    <row r="8" spans="1:20" ht="12.75">
      <c r="A8" t="s">
        <v>80</v>
      </c>
      <c r="B8" s="33">
        <v>120</v>
      </c>
      <c r="C8" t="s">
        <v>85</v>
      </c>
      <c r="D8" s="33">
        <v>8</v>
      </c>
      <c r="P8" s="286" t="s">
        <v>146</v>
      </c>
      <c r="Q8" s="288">
        <f>IF(Abfrage!$B$132+Abfrage!$B$133=2,"O / U",IF(Abfrage!$B$132=1,"O",IF(Abfrage!$B$133=1,"U",0)))</f>
        <v>0</v>
      </c>
      <c r="R8" s="282"/>
      <c r="T8" s="283"/>
    </row>
    <row r="9" spans="1:20" ht="12.75">
      <c r="A9" t="s">
        <v>81</v>
      </c>
      <c r="B9" s="33">
        <v>120</v>
      </c>
      <c r="C9" t="s">
        <v>86</v>
      </c>
      <c r="D9" s="33">
        <v>9</v>
      </c>
      <c r="P9" s="286" t="s">
        <v>144</v>
      </c>
      <c r="Q9" s="288">
        <f>IF(Abfrage!$B$132+Abfrage!$B$133=2,"O / U",IF(Abfrage!$B$132=1,"O",IF(Abfrage!$B$133=1,"U",0)))</f>
        <v>0</v>
      </c>
      <c r="R9" s="282"/>
      <c r="T9" s="283"/>
    </row>
    <row r="10" spans="1:20" ht="12.75">
      <c r="A10" t="s">
        <v>82</v>
      </c>
      <c r="B10" s="33">
        <v>120</v>
      </c>
      <c r="C10" t="s">
        <v>88</v>
      </c>
      <c r="D10" s="33">
        <v>10</v>
      </c>
      <c r="P10" s="286" t="s">
        <v>139</v>
      </c>
      <c r="Q10" s="288">
        <f>IF(Abfrage!$B$69+Abfrage!$B$71=1,"L",IF(Abfrage!$B$70+Abfrage!$B$72=1,"R",0))</f>
        <v>0</v>
      </c>
      <c r="R10" s="282"/>
      <c r="T10" s="283"/>
    </row>
    <row r="11" spans="1:20" ht="12.75">
      <c r="A11" t="s">
        <v>83</v>
      </c>
      <c r="B11" s="33">
        <v>120</v>
      </c>
      <c r="C11" t="s">
        <v>89</v>
      </c>
      <c r="D11" s="33">
        <v>11</v>
      </c>
      <c r="P11" s="286" t="s">
        <v>143</v>
      </c>
      <c r="Q11" s="288">
        <f>IF(Abfrage!$B$28+Abfrage!$B$129=2,"U",IF(Abfrage!$B$29+Abfrage!$B$129=2,"O",0))</f>
        <v>0</v>
      </c>
      <c r="R11" s="282"/>
      <c r="T11" s="283"/>
    </row>
    <row r="12" spans="1:20" ht="12.75">
      <c r="A12" t="s">
        <v>84</v>
      </c>
      <c r="B12" s="33">
        <v>120</v>
      </c>
      <c r="C12" t="s">
        <v>90</v>
      </c>
      <c r="D12" s="33">
        <v>12</v>
      </c>
      <c r="P12" s="286" t="s">
        <v>143</v>
      </c>
      <c r="Q12" s="288">
        <f>IF(Abfrage!$B$28+Abfrage!$B$129=2,"U",IF(Abfrage!$B$29+Abfrage!$B$129=2,"O",0))</f>
        <v>0</v>
      </c>
      <c r="R12" s="282"/>
      <c r="T12" s="283"/>
    </row>
    <row r="13" spans="2:20" ht="12.75">
      <c r="B13" s="33">
        <v>120</v>
      </c>
      <c r="C13" s="219" t="s">
        <v>103</v>
      </c>
      <c r="D13" s="33">
        <v>13</v>
      </c>
      <c r="P13" s="291"/>
      <c r="Q13" s="290"/>
      <c r="R13" s="292"/>
      <c r="S13" s="289"/>
      <c r="T13" s="283"/>
    </row>
    <row r="14" spans="2:20" ht="12.75">
      <c r="B14" s="33">
        <v>120</v>
      </c>
      <c r="C14" s="219" t="s">
        <v>103</v>
      </c>
      <c r="D14" s="33">
        <v>14</v>
      </c>
      <c r="P14" s="291"/>
      <c r="Q14" s="290"/>
      <c r="R14" s="292"/>
      <c r="S14" s="289"/>
      <c r="T14" s="283"/>
    </row>
    <row r="15" spans="2:20" ht="12.75">
      <c r="B15" s="33">
        <v>120</v>
      </c>
      <c r="C15" s="219" t="s">
        <v>103</v>
      </c>
      <c r="D15" s="33">
        <v>15</v>
      </c>
      <c r="P15" s="291"/>
      <c r="Q15" s="290"/>
      <c r="R15" s="292"/>
      <c r="S15" s="289"/>
      <c r="T15" s="283"/>
    </row>
    <row r="16" spans="1:20" ht="12.75">
      <c r="A16" t="s">
        <v>91</v>
      </c>
      <c r="B16" s="33">
        <v>200</v>
      </c>
      <c r="C16" t="s">
        <v>85</v>
      </c>
      <c r="D16" s="33">
        <v>16</v>
      </c>
      <c r="P16" s="286" t="s">
        <v>146</v>
      </c>
      <c r="Q16" s="288">
        <f>IF(Abfrage!$B$132+Abfrage!$B$133=2,"O / U",IF(Abfrage!$B$132=1,"O",IF(Abfrage!$B$133=1,"U",0)))</f>
        <v>0</v>
      </c>
      <c r="R16" s="282"/>
      <c r="T16" s="283"/>
    </row>
    <row r="17" spans="1:20" ht="12.75">
      <c r="A17" t="s">
        <v>92</v>
      </c>
      <c r="B17" s="33">
        <v>200</v>
      </c>
      <c r="C17" t="s">
        <v>101</v>
      </c>
      <c r="D17" s="33">
        <v>17</v>
      </c>
      <c r="P17" s="286" t="s">
        <v>145</v>
      </c>
      <c r="Q17" s="288">
        <f>IF(Abfrage!$B$132+Abfrage!$B$133=2,"O / U",IF(Abfrage!$B$132=1,"O",IF(Abfrage!$B$133=1,"U",0)))</f>
        <v>0</v>
      </c>
      <c r="R17" s="282"/>
      <c r="T17" s="283"/>
    </row>
    <row r="18" spans="1:20" ht="12.75">
      <c r="A18" t="s">
        <v>95</v>
      </c>
      <c r="B18" s="33">
        <v>200</v>
      </c>
      <c r="C18" t="s">
        <v>86</v>
      </c>
      <c r="D18" s="33">
        <v>18</v>
      </c>
      <c r="P18" s="286" t="s">
        <v>144</v>
      </c>
      <c r="Q18" s="288">
        <f>IF(Abfrage!$B$132+Abfrage!$B$133=2,"O / U",IF(Abfrage!$B$132=1,"O",IF(Abfrage!$B$133=1,"U",0)))</f>
        <v>0</v>
      </c>
      <c r="R18" s="282"/>
      <c r="T18" s="283"/>
    </row>
    <row r="19" spans="1:20" ht="12.75">
      <c r="A19" t="s">
        <v>96</v>
      </c>
      <c r="B19" s="33">
        <v>200</v>
      </c>
      <c r="C19" t="s">
        <v>102</v>
      </c>
      <c r="D19" s="33">
        <v>19</v>
      </c>
      <c r="P19" s="286" t="s">
        <v>147</v>
      </c>
      <c r="Q19" s="288">
        <f>IF(Abfrage!$B$132+Abfrage!$B$133=2,"O / U",IF(Abfrage!$B$132=1,"O",IF(Abfrage!$B$133=1,"U",0)))</f>
        <v>0</v>
      </c>
      <c r="R19" s="282"/>
      <c r="T19" s="283"/>
    </row>
    <row r="20" spans="1:20" ht="12.75">
      <c r="A20" t="s">
        <v>97</v>
      </c>
      <c r="B20" s="33">
        <v>200</v>
      </c>
      <c r="C20" t="s">
        <v>104</v>
      </c>
      <c r="D20" s="33">
        <v>20</v>
      </c>
      <c r="P20" s="286" t="s">
        <v>139</v>
      </c>
      <c r="Q20" s="288">
        <f>IF(Abfrage!$B$69+Abfrage!$B$71=1,"L",IF(Abfrage!$B$70+Abfrage!$B$72=1,"R",0))</f>
        <v>0</v>
      </c>
      <c r="R20" s="282"/>
      <c r="T20" s="283"/>
    </row>
    <row r="21" spans="1:20" ht="12.75">
      <c r="A21" t="s">
        <v>98</v>
      </c>
      <c r="B21" s="33">
        <v>200</v>
      </c>
      <c r="C21" t="s">
        <v>90</v>
      </c>
      <c r="D21" s="33">
        <v>21</v>
      </c>
      <c r="P21" s="286" t="s">
        <v>143</v>
      </c>
      <c r="Q21" s="288">
        <f>IF(Abfrage!$B$28+Abfrage!$B$129=2,"U",IF(Abfrage!$B$29+Abfrage!$B$129=2,"O",0))</f>
        <v>0</v>
      </c>
      <c r="R21" s="282"/>
      <c r="T21" s="283"/>
    </row>
    <row r="22" spans="1:20" ht="12.75">
      <c r="A22" t="s">
        <v>99</v>
      </c>
      <c r="B22" s="33">
        <v>200</v>
      </c>
      <c r="C22" t="s">
        <v>105</v>
      </c>
      <c r="D22" s="33">
        <v>22</v>
      </c>
      <c r="P22" s="286" t="s">
        <v>148</v>
      </c>
      <c r="Q22" s="288">
        <f>IF(Abfrage!$B$28+Abfrage!$B$129+Abfrage!$B$133=3,"U",0)</f>
        <v>0</v>
      </c>
      <c r="R22" s="282"/>
      <c r="T22" s="283"/>
    </row>
    <row r="23" spans="1:20" ht="12.75">
      <c r="A23" t="s">
        <v>100</v>
      </c>
      <c r="B23" s="33">
        <v>200</v>
      </c>
      <c r="C23" t="s">
        <v>106</v>
      </c>
      <c r="D23" s="33">
        <v>23</v>
      </c>
      <c r="P23" s="286" t="s">
        <v>149</v>
      </c>
      <c r="Q23" s="288">
        <f>IF(Abfrage!$B$28+Abfrage!$B$129+Abfrage!$B$133=3,"U",0)</f>
        <v>0</v>
      </c>
      <c r="R23" s="282"/>
      <c r="T23" s="283"/>
    </row>
    <row r="24" spans="2:20" ht="12.75">
      <c r="B24" s="33">
        <v>200</v>
      </c>
      <c r="C24" s="219" t="s">
        <v>103</v>
      </c>
      <c r="D24" s="33">
        <v>24</v>
      </c>
      <c r="P24" s="291"/>
      <c r="Q24" s="290"/>
      <c r="R24" s="292"/>
      <c r="S24" s="289"/>
      <c r="T24" s="283"/>
    </row>
    <row r="25" spans="2:20" ht="12.75">
      <c r="B25" s="33">
        <v>200</v>
      </c>
      <c r="C25" s="219" t="s">
        <v>103</v>
      </c>
      <c r="D25" s="33">
        <v>25</v>
      </c>
      <c r="P25" s="291"/>
      <c r="Q25" s="290"/>
      <c r="R25" s="292"/>
      <c r="S25" s="289"/>
      <c r="T25" s="283"/>
    </row>
    <row r="26" spans="2:20" ht="12.75">
      <c r="B26" s="33">
        <v>200</v>
      </c>
      <c r="C26" s="219" t="s">
        <v>103</v>
      </c>
      <c r="D26" s="33">
        <v>26</v>
      </c>
      <c r="P26" s="291"/>
      <c r="Q26" s="290"/>
      <c r="R26" s="292"/>
      <c r="S26" s="289"/>
      <c r="T26" s="283"/>
    </row>
    <row r="27" spans="1:20" ht="12.75">
      <c r="A27" t="s">
        <v>107</v>
      </c>
      <c r="B27" s="33" t="s">
        <v>108</v>
      </c>
      <c r="C27" t="s">
        <v>76</v>
      </c>
      <c r="D27" s="33">
        <v>27</v>
      </c>
      <c r="P27" s="286" t="s">
        <v>141</v>
      </c>
      <c r="Q27" s="288">
        <f>IF(Abfrage!$B$69+Abfrage!$B$71=1,"R",IF(Abfrage!$B$70+Abfrage!$B$72=1,"L",0))</f>
        <v>0</v>
      </c>
      <c r="R27" s="282"/>
      <c r="T27" s="283"/>
    </row>
    <row r="28" spans="1:20" ht="12.75">
      <c r="A28" t="s">
        <v>109</v>
      </c>
      <c r="B28" s="33" t="s">
        <v>108</v>
      </c>
      <c r="C28" t="s">
        <v>77</v>
      </c>
      <c r="D28" s="33">
        <v>28</v>
      </c>
      <c r="P28" s="286" t="s">
        <v>142</v>
      </c>
      <c r="Q28" s="288">
        <f>IF(Abfrage!$B$69+Abfrage!$B$71=1,"R",IF(Abfrage!$B$70+Abfrage!$B$72=1,"L",0))</f>
        <v>0</v>
      </c>
      <c r="R28" s="282"/>
      <c r="T28" s="283"/>
    </row>
    <row r="29" spans="1:20" ht="12.75">
      <c r="A29" t="s">
        <v>110</v>
      </c>
      <c r="B29" s="33" t="s">
        <v>108</v>
      </c>
      <c r="C29" t="s">
        <v>111</v>
      </c>
      <c r="D29" s="33">
        <v>29</v>
      </c>
      <c r="P29" s="286" t="s">
        <v>139</v>
      </c>
      <c r="Q29" s="288">
        <f>IF(Abfrage!$B$69+Abfrage!$B$71=1,"L",IF(Abfrage!$B$70+Abfrage!$B$72=1,"R",0))</f>
        <v>0</v>
      </c>
      <c r="R29" s="282"/>
      <c r="T29" s="283"/>
    </row>
    <row r="30" spans="2:20" ht="12.75">
      <c r="B30" s="33" t="s">
        <v>108</v>
      </c>
      <c r="C30" s="219" t="s">
        <v>103</v>
      </c>
      <c r="D30" s="33">
        <v>30</v>
      </c>
      <c r="P30" s="291"/>
      <c r="Q30" s="290"/>
      <c r="R30" s="292"/>
      <c r="S30" s="289"/>
      <c r="T30" s="283"/>
    </row>
    <row r="31" spans="2:20" ht="12.75">
      <c r="B31" s="33" t="s">
        <v>108</v>
      </c>
      <c r="C31" s="219" t="s">
        <v>103</v>
      </c>
      <c r="D31" s="33">
        <v>31</v>
      </c>
      <c r="P31" s="291"/>
      <c r="Q31" s="290"/>
      <c r="R31" s="292"/>
      <c r="S31" s="289"/>
      <c r="T31" s="283"/>
    </row>
    <row r="32" spans="2:20" ht="12.75">
      <c r="B32" s="33" t="s">
        <v>108</v>
      </c>
      <c r="C32" s="219" t="s">
        <v>103</v>
      </c>
      <c r="D32" s="33">
        <v>32</v>
      </c>
      <c r="P32" s="291"/>
      <c r="Q32" s="290"/>
      <c r="R32" s="292"/>
      <c r="S32" s="289"/>
      <c r="T32" s="283"/>
    </row>
    <row r="33" spans="1:20" ht="12.75">
      <c r="A33" t="s">
        <v>112</v>
      </c>
      <c r="B33" s="33" t="s">
        <v>113</v>
      </c>
      <c r="C33" t="s">
        <v>85</v>
      </c>
      <c r="D33" s="33">
        <v>33</v>
      </c>
      <c r="P33" s="286" t="s">
        <v>146</v>
      </c>
      <c r="Q33" s="288">
        <f>IF(Abfrage!$B$132+Abfrage!$B$133=2,"O / U",IF(Abfrage!$B$132=1,"O",IF(Abfrage!$B$133=1,"U",0)))</f>
        <v>0</v>
      </c>
      <c r="R33" s="282"/>
      <c r="T33" s="283"/>
    </row>
    <row r="34" spans="1:20" ht="12.75">
      <c r="A34" t="s">
        <v>114</v>
      </c>
      <c r="B34" s="33" t="s">
        <v>113</v>
      </c>
      <c r="C34" t="s">
        <v>86</v>
      </c>
      <c r="D34" s="33">
        <v>34</v>
      </c>
      <c r="P34" s="286" t="s">
        <v>144</v>
      </c>
      <c r="Q34" s="288">
        <f>IF(Abfrage!$B$132+Abfrage!$B$133=2,"O / U",IF(Abfrage!$B$132=1,"O",IF(Abfrage!$B$133=1,"U",0)))</f>
        <v>0</v>
      </c>
      <c r="R34" s="282"/>
      <c r="T34" s="283"/>
    </row>
    <row r="35" spans="1:20" ht="12.75">
      <c r="A35" t="s">
        <v>115</v>
      </c>
      <c r="B35" s="33" t="s">
        <v>113</v>
      </c>
      <c r="C35" t="s">
        <v>116</v>
      </c>
      <c r="D35" s="33">
        <v>35</v>
      </c>
      <c r="P35" s="286" t="s">
        <v>139</v>
      </c>
      <c r="Q35" s="288">
        <f>IF(Abfrage!$B$69+Abfrage!$B$71=1,"L",IF(Abfrage!$B$70+Abfrage!$B$72=1,"R",0))</f>
        <v>0</v>
      </c>
      <c r="R35" s="282"/>
      <c r="T35" s="283"/>
    </row>
    <row r="36" spans="1:20" ht="12.75">
      <c r="A36" t="s">
        <v>117</v>
      </c>
      <c r="B36" s="33" t="s">
        <v>113</v>
      </c>
      <c r="C36" t="s">
        <v>89</v>
      </c>
      <c r="D36" s="33">
        <v>36</v>
      </c>
      <c r="P36" s="286" t="s">
        <v>143</v>
      </c>
      <c r="Q36" s="288">
        <f>IF(Abfrage!$B$28+Abfrage!$B$129=2,"U",IF(Abfrage!$B$29+Abfrage!$B$129=2,"O",0))</f>
        <v>0</v>
      </c>
      <c r="R36" s="282"/>
      <c r="T36" s="283"/>
    </row>
    <row r="37" spans="1:20" ht="12.75">
      <c r="A37" t="s">
        <v>118</v>
      </c>
      <c r="B37" s="33" t="s">
        <v>113</v>
      </c>
      <c r="C37" t="s">
        <v>90</v>
      </c>
      <c r="D37" s="33">
        <v>37</v>
      </c>
      <c r="P37" s="286" t="s">
        <v>143</v>
      </c>
      <c r="Q37" s="288">
        <f>IF(Abfrage!$B$28+Abfrage!$B$129=2,"U",IF(Abfrage!$B$29+Abfrage!$B$129=2,"O",0))</f>
        <v>0</v>
      </c>
      <c r="R37" s="282"/>
      <c r="T37" s="283"/>
    </row>
    <row r="38" spans="2:20" ht="12.75">
      <c r="B38" s="33" t="s">
        <v>113</v>
      </c>
      <c r="C38" s="219" t="s">
        <v>103</v>
      </c>
      <c r="D38" s="33">
        <v>38</v>
      </c>
      <c r="P38" s="291"/>
      <c r="Q38" s="290"/>
      <c r="R38" s="292"/>
      <c r="S38" s="289"/>
      <c r="T38" s="283"/>
    </row>
    <row r="39" spans="2:20" ht="12.75">
      <c r="B39" s="33" t="s">
        <v>113</v>
      </c>
      <c r="C39" s="219" t="s">
        <v>103</v>
      </c>
      <c r="D39" s="33">
        <v>39</v>
      </c>
      <c r="P39" s="291"/>
      <c r="Q39" s="290"/>
      <c r="R39" s="292"/>
      <c r="S39" s="289"/>
      <c r="T39" s="283"/>
    </row>
    <row r="40" spans="2:20" ht="12.75">
      <c r="B40" s="33" t="s">
        <v>113</v>
      </c>
      <c r="C40" s="219" t="s">
        <v>103</v>
      </c>
      <c r="D40" s="33">
        <v>40</v>
      </c>
      <c r="P40" s="291"/>
      <c r="Q40" s="290"/>
      <c r="R40" s="292"/>
      <c r="S40" s="289"/>
      <c r="T40" s="283"/>
    </row>
    <row r="41" spans="1:20" ht="12.75">
      <c r="A41" t="s">
        <v>119</v>
      </c>
      <c r="B41" s="33" t="s">
        <v>120</v>
      </c>
      <c r="C41" t="s">
        <v>85</v>
      </c>
      <c r="D41" s="33">
        <v>41</v>
      </c>
      <c r="P41" s="286" t="s">
        <v>146</v>
      </c>
      <c r="Q41" s="288">
        <f>IF(Abfrage!$B$132+Abfrage!$B$133=2,"O / U",IF(Abfrage!$B$132=1,"O",IF(Abfrage!$B$133=1,"U",0)))</f>
        <v>0</v>
      </c>
      <c r="R41" s="282"/>
      <c r="T41" s="283"/>
    </row>
    <row r="42" spans="1:20" ht="12.75">
      <c r="A42" t="s">
        <v>121</v>
      </c>
      <c r="B42" s="33" t="s">
        <v>120</v>
      </c>
      <c r="C42" t="s">
        <v>101</v>
      </c>
      <c r="D42" s="33">
        <v>42</v>
      </c>
      <c r="P42" s="286" t="s">
        <v>145</v>
      </c>
      <c r="Q42" s="288">
        <f>IF(Abfrage!$B$132+Abfrage!$B$133=2,"O / U",IF(Abfrage!$B$132=1,"O",IF(Abfrage!$B$133=1,"U",0)))</f>
        <v>0</v>
      </c>
      <c r="R42" s="282"/>
      <c r="T42" s="283"/>
    </row>
    <row r="43" spans="1:20" ht="12.75">
      <c r="A43" t="s">
        <v>122</v>
      </c>
      <c r="B43" s="33" t="s">
        <v>120</v>
      </c>
      <c r="C43" t="s">
        <v>86</v>
      </c>
      <c r="D43" s="33">
        <v>43</v>
      </c>
      <c r="P43" s="286" t="s">
        <v>144</v>
      </c>
      <c r="Q43" s="288">
        <f>IF(Abfrage!$B$132+Abfrage!$B$133=2,"O / U",IF(Abfrage!$B$132=1,"O",IF(Abfrage!$B$133=1,"U",0)))</f>
        <v>0</v>
      </c>
      <c r="R43" s="282"/>
      <c r="T43" s="283"/>
    </row>
    <row r="44" spans="1:20" ht="12.75">
      <c r="A44" t="s">
        <v>123</v>
      </c>
      <c r="B44" s="33" t="s">
        <v>120</v>
      </c>
      <c r="C44" t="s">
        <v>102</v>
      </c>
      <c r="D44" s="33">
        <v>44</v>
      </c>
      <c r="P44" s="286" t="s">
        <v>147</v>
      </c>
      <c r="Q44" s="288">
        <f>IF(Abfrage!$B$132+Abfrage!$B$133=2,"O / U",IF(Abfrage!$B$132=1,"O",IF(Abfrage!$B$133=1,"U",0)))</f>
        <v>0</v>
      </c>
      <c r="R44" s="282"/>
      <c r="T44" s="283"/>
    </row>
    <row r="45" spans="1:20" ht="12.75">
      <c r="A45" t="s">
        <v>124</v>
      </c>
      <c r="B45" s="33" t="s">
        <v>120</v>
      </c>
      <c r="C45" t="s">
        <v>125</v>
      </c>
      <c r="D45" s="33">
        <v>45</v>
      </c>
      <c r="P45" s="286" t="s">
        <v>139</v>
      </c>
      <c r="Q45" s="288">
        <f>IF(Abfrage!$B$69+Abfrage!$B$71=1,"L",IF(Abfrage!$B$70+Abfrage!$B$72=1,"R",0))</f>
        <v>0</v>
      </c>
      <c r="R45" s="282"/>
      <c r="T45" s="283"/>
    </row>
    <row r="46" spans="1:20" ht="12.75">
      <c r="A46" t="s">
        <v>126</v>
      </c>
      <c r="B46" s="33" t="s">
        <v>120</v>
      </c>
      <c r="C46" t="s">
        <v>90</v>
      </c>
      <c r="D46" s="33">
        <v>46</v>
      </c>
      <c r="P46" s="286" t="s">
        <v>143</v>
      </c>
      <c r="Q46" s="288">
        <f>IF(Abfrage!$B$28+Abfrage!$B$129=2,"U",IF(Abfrage!$B$29+Abfrage!$B$129=2,"O",0))</f>
        <v>0</v>
      </c>
      <c r="R46" s="282"/>
      <c r="T46" s="283"/>
    </row>
    <row r="47" spans="1:20" ht="12.75">
      <c r="A47" t="s">
        <v>127</v>
      </c>
      <c r="B47" s="33" t="s">
        <v>120</v>
      </c>
      <c r="C47" t="s">
        <v>105</v>
      </c>
      <c r="D47" s="33">
        <v>47</v>
      </c>
      <c r="P47" s="286" t="s">
        <v>148</v>
      </c>
      <c r="Q47" s="288">
        <f>IF(Abfrage!$B$28+Abfrage!$B$129+Abfrage!$B$133=3,"U",0)</f>
        <v>0</v>
      </c>
      <c r="R47" s="282"/>
      <c r="T47" s="283"/>
    </row>
    <row r="48" spans="1:20" ht="12.75">
      <c r="A48" t="s">
        <v>128</v>
      </c>
      <c r="B48" s="33" t="s">
        <v>120</v>
      </c>
      <c r="C48" t="s">
        <v>106</v>
      </c>
      <c r="D48" s="33">
        <v>48</v>
      </c>
      <c r="P48" s="286" t="s">
        <v>149</v>
      </c>
      <c r="Q48" s="288">
        <f>IF(Abfrage!$B$28+Abfrage!$B$129+Abfrage!$B$133=3,"U",0)</f>
        <v>0</v>
      </c>
      <c r="R48" s="282"/>
      <c r="T48" s="283"/>
    </row>
    <row r="49" spans="2:20" ht="12.75">
      <c r="B49" s="33" t="s">
        <v>120</v>
      </c>
      <c r="C49" s="219" t="s">
        <v>103</v>
      </c>
      <c r="D49" s="33">
        <v>49</v>
      </c>
      <c r="P49" s="291"/>
      <c r="Q49" s="290"/>
      <c r="R49" s="292"/>
      <c r="S49" s="289"/>
      <c r="T49" s="283"/>
    </row>
    <row r="50" spans="2:20" ht="12.75">
      <c r="B50" s="33" t="s">
        <v>120</v>
      </c>
      <c r="C50" s="219" t="s">
        <v>103</v>
      </c>
      <c r="D50" s="33">
        <v>50</v>
      </c>
      <c r="P50" s="291"/>
      <c r="Q50" s="290"/>
      <c r="R50" s="292"/>
      <c r="S50" s="289"/>
      <c r="T50" s="283"/>
    </row>
    <row r="51" spans="2:20" ht="12.75">
      <c r="B51" s="33"/>
      <c r="C51" s="219"/>
      <c r="D51" s="33">
        <v>51</v>
      </c>
      <c r="R51" s="282"/>
      <c r="T51" s="283"/>
    </row>
    <row r="52" spans="2:20" ht="12.75">
      <c r="B52" s="33"/>
      <c r="C52" s="219"/>
      <c r="D52" s="33">
        <v>52</v>
      </c>
      <c r="R52" s="282"/>
      <c r="T52" s="283"/>
    </row>
    <row r="53" spans="4:20" ht="12.75">
      <c r="D53" s="33">
        <v>53</v>
      </c>
      <c r="R53" s="282"/>
      <c r="T53" s="283"/>
    </row>
    <row r="54" spans="4:20" ht="12.75">
      <c r="D54" s="33">
        <v>54</v>
      </c>
      <c r="R54" s="282"/>
      <c r="T54" s="283"/>
    </row>
    <row r="55" spans="1:20" ht="15">
      <c r="A55" s="527"/>
      <c r="B55" s="527"/>
      <c r="D55" s="33">
        <v>55</v>
      </c>
      <c r="R55" s="282"/>
      <c r="T55" s="283"/>
    </row>
    <row r="56" spans="1:20" ht="12.75">
      <c r="A56" s="530" t="s">
        <v>195</v>
      </c>
      <c r="B56" s="529" t="s">
        <v>205</v>
      </c>
      <c r="C56" s="530" t="s">
        <v>193</v>
      </c>
      <c r="D56" s="33">
        <v>56</v>
      </c>
      <c r="P56" s="286" t="s">
        <v>724</v>
      </c>
      <c r="R56" s="282"/>
      <c r="T56" s="283"/>
    </row>
    <row r="57" spans="1:20" ht="12.75">
      <c r="A57" s="530" t="s">
        <v>195</v>
      </c>
      <c r="B57" s="529" t="s">
        <v>205</v>
      </c>
      <c r="C57" s="530" t="s">
        <v>194</v>
      </c>
      <c r="D57" s="33">
        <v>57</v>
      </c>
      <c r="P57" s="286" t="s">
        <v>724</v>
      </c>
      <c r="R57" s="282"/>
      <c r="T57" s="283"/>
    </row>
    <row r="58" spans="1:20" ht="12.75">
      <c r="A58" s="530" t="s">
        <v>196</v>
      </c>
      <c r="B58" s="529" t="s">
        <v>206</v>
      </c>
      <c r="C58" s="530" t="s">
        <v>202</v>
      </c>
      <c r="D58" s="33">
        <v>58</v>
      </c>
      <c r="P58" s="286" t="s">
        <v>204</v>
      </c>
      <c r="R58" s="282"/>
      <c r="T58" s="283"/>
    </row>
    <row r="59" spans="1:20" ht="12.75">
      <c r="A59" s="530" t="s">
        <v>196</v>
      </c>
      <c r="B59" s="529" t="s">
        <v>206</v>
      </c>
      <c r="C59" s="530" t="s">
        <v>203</v>
      </c>
      <c r="D59" s="33">
        <v>59</v>
      </c>
      <c r="P59" s="286" t="s">
        <v>204</v>
      </c>
      <c r="R59" s="282"/>
      <c r="T59" s="283"/>
    </row>
    <row r="60" spans="4:20" ht="12.75">
      <c r="D60" s="33">
        <v>60</v>
      </c>
      <c r="R60" s="282"/>
      <c r="T60" s="283"/>
    </row>
    <row r="61" spans="18:20" ht="12.75">
      <c r="R61" s="282"/>
      <c r="T61" s="283"/>
    </row>
    <row r="62" spans="18:20" ht="12.75">
      <c r="R62" s="282"/>
      <c r="T62" s="283"/>
    </row>
    <row r="63" spans="18:20" ht="12.75">
      <c r="R63" s="282"/>
      <c r="T63" s="283"/>
    </row>
    <row r="64" spans="18:20" ht="12.75">
      <c r="R64" s="282"/>
      <c r="T64" s="283"/>
    </row>
    <row r="65" spans="18:20" ht="12.75">
      <c r="R65" s="282"/>
      <c r="T65" s="283"/>
    </row>
    <row r="66" spans="18:20" ht="12.75">
      <c r="R66" s="282"/>
      <c r="T66" s="283"/>
    </row>
    <row r="67" spans="18:20" ht="12.75">
      <c r="R67" s="282"/>
      <c r="T67" s="283"/>
    </row>
    <row r="68" spans="18:20" ht="12.75">
      <c r="R68" s="282"/>
      <c r="T68" s="283"/>
    </row>
    <row r="69" spans="18:20" ht="12.75">
      <c r="R69" s="282"/>
      <c r="T69" s="283"/>
    </row>
    <row r="70" spans="18:20" ht="12.75">
      <c r="R70" s="282"/>
      <c r="T70" s="283"/>
    </row>
    <row r="71" spans="18:20" ht="12.75">
      <c r="R71" s="282"/>
      <c r="T71" s="283"/>
    </row>
    <row r="72" spans="18:20" ht="12.75">
      <c r="R72" s="282"/>
      <c r="T72" s="283"/>
    </row>
    <row r="73" spans="18:20" ht="12.75">
      <c r="R73" s="282"/>
      <c r="T73" s="283"/>
    </row>
    <row r="74" spans="18:20" ht="12.75">
      <c r="R74" s="282"/>
      <c r="T74" s="283"/>
    </row>
    <row r="75" spans="18:20" ht="12.75">
      <c r="R75" s="282"/>
      <c r="T75" s="283"/>
    </row>
    <row r="76" spans="18:20" ht="12.75">
      <c r="R76" s="282"/>
      <c r="T76" s="283"/>
    </row>
    <row r="77" spans="18:20" ht="12.75">
      <c r="R77" s="282"/>
      <c r="T77" s="283"/>
    </row>
    <row r="78" spans="18:20" ht="12.75">
      <c r="R78" s="282"/>
      <c r="T78" s="283"/>
    </row>
    <row r="79" spans="18:20" ht="12.75">
      <c r="R79" s="282"/>
      <c r="T79" s="283"/>
    </row>
    <row r="80" spans="18:20" ht="12.75">
      <c r="R80" s="282"/>
      <c r="T80" s="283"/>
    </row>
    <row r="81" spans="18:20" ht="12.75">
      <c r="R81" s="282"/>
      <c r="T81" s="283"/>
    </row>
    <row r="82" spans="18:20" ht="12.75">
      <c r="R82" s="282"/>
      <c r="T82" s="283"/>
    </row>
    <row r="83" spans="18:20" ht="12.75">
      <c r="R83" s="282"/>
      <c r="T83" s="283"/>
    </row>
    <row r="84" spans="18:20" ht="12.75">
      <c r="R84" s="282"/>
      <c r="T84" s="283"/>
    </row>
    <row r="85" spans="18:20" ht="12.75">
      <c r="R85" s="282"/>
      <c r="T85" s="283"/>
    </row>
    <row r="86" spans="18:20" ht="12.75">
      <c r="R86" s="282"/>
      <c r="T86" s="283"/>
    </row>
    <row r="87" spans="18:20" ht="12.75">
      <c r="R87" s="282"/>
      <c r="T87" s="283"/>
    </row>
    <row r="88" spans="18:20" ht="12.75">
      <c r="R88" s="282"/>
      <c r="T88" s="283"/>
    </row>
    <row r="89" spans="18:20" ht="12.75">
      <c r="R89" s="282"/>
      <c r="T89" s="283"/>
    </row>
    <row r="90" spans="18:20" ht="12.75">
      <c r="R90" s="282"/>
      <c r="T90" s="283"/>
    </row>
    <row r="91" spans="18:20" ht="12.75">
      <c r="R91" s="282"/>
      <c r="T91" s="283"/>
    </row>
    <row r="92" spans="18:20" ht="12.75">
      <c r="R92" s="282"/>
      <c r="T92" s="283"/>
    </row>
    <row r="93" spans="18:20" ht="12.75">
      <c r="R93" s="282"/>
      <c r="T93" s="283"/>
    </row>
    <row r="94" spans="18:20" ht="12.75">
      <c r="R94" s="282"/>
      <c r="T94" s="283"/>
    </row>
    <row r="95" spans="18:20" ht="12.75">
      <c r="R95" s="282"/>
      <c r="T95" s="283"/>
    </row>
    <row r="96" spans="18:20" ht="12.75">
      <c r="R96" s="282"/>
      <c r="T96" s="283"/>
    </row>
    <row r="97" spans="18:20" ht="12.75">
      <c r="R97" s="282"/>
      <c r="T97" s="283"/>
    </row>
    <row r="98" spans="18:20" ht="12.75">
      <c r="R98" s="282"/>
      <c r="T98" s="283"/>
    </row>
    <row r="99" spans="18:20" ht="12.75">
      <c r="R99" s="282"/>
      <c r="T99" s="283"/>
    </row>
    <row r="100" spans="1:20" ht="15.75">
      <c r="A100" s="525"/>
      <c r="B100" s="525"/>
      <c r="C100" s="526" t="s">
        <v>921</v>
      </c>
      <c r="D100" s="526"/>
      <c r="E100" s="526"/>
      <c r="F100" s="526"/>
      <c r="G100" s="526"/>
      <c r="R100" s="282"/>
      <c r="T100" s="283"/>
    </row>
    <row r="101" spans="1:20" ht="15">
      <c r="A101" s="527" t="s">
        <v>75</v>
      </c>
      <c r="B101" s="527">
        <v>55</v>
      </c>
      <c r="C101" s="528" t="s">
        <v>183</v>
      </c>
      <c r="D101" s="528"/>
      <c r="E101" s="528"/>
      <c r="F101" s="528"/>
      <c r="G101" s="528"/>
      <c r="R101" s="282"/>
      <c r="T101" s="283"/>
    </row>
    <row r="102" spans="1:20" ht="15">
      <c r="A102" s="527" t="s">
        <v>78</v>
      </c>
      <c r="B102" s="527">
        <v>55</v>
      </c>
      <c r="C102" s="528" t="s">
        <v>184</v>
      </c>
      <c r="D102" s="528"/>
      <c r="E102" s="528"/>
      <c r="F102" s="528"/>
      <c r="G102" s="528"/>
      <c r="R102" s="282"/>
      <c r="T102" s="283"/>
    </row>
    <row r="103" spans="1:20" ht="15">
      <c r="A103" s="527" t="s">
        <v>79</v>
      </c>
      <c r="B103" s="527">
        <v>55</v>
      </c>
      <c r="C103" s="528" t="s">
        <v>185</v>
      </c>
      <c r="D103" s="528"/>
      <c r="E103" s="528"/>
      <c r="F103" s="528"/>
      <c r="G103" s="528"/>
      <c r="R103" s="282"/>
      <c r="T103" s="283"/>
    </row>
    <row r="104" spans="1:20" ht="15">
      <c r="A104" s="527"/>
      <c r="B104" s="527"/>
      <c r="C104" s="527"/>
      <c r="D104" s="527"/>
      <c r="E104" s="527"/>
      <c r="F104" s="527"/>
      <c r="G104" s="527"/>
      <c r="R104" s="282"/>
      <c r="T104" s="283"/>
    </row>
    <row r="105" spans="1:20" ht="15">
      <c r="A105" s="527"/>
      <c r="B105" s="527"/>
      <c r="C105" s="527"/>
      <c r="D105" s="527"/>
      <c r="E105" s="527"/>
      <c r="F105" s="527"/>
      <c r="G105" s="527"/>
      <c r="R105" s="282"/>
      <c r="T105" s="283"/>
    </row>
    <row r="106" spans="1:20" ht="15.75">
      <c r="A106" s="525"/>
      <c r="B106" s="525"/>
      <c r="C106" s="526" t="s">
        <v>924</v>
      </c>
      <c r="D106" s="526"/>
      <c r="E106" s="526"/>
      <c r="F106" s="526"/>
      <c r="G106" s="526"/>
      <c r="R106" s="282"/>
      <c r="T106" s="283"/>
    </row>
    <row r="107" spans="1:20" ht="15">
      <c r="A107" s="527" t="s">
        <v>107</v>
      </c>
      <c r="B107" s="527" t="s">
        <v>108</v>
      </c>
      <c r="C107" s="528" t="s">
        <v>183</v>
      </c>
      <c r="D107" s="528"/>
      <c r="E107" s="528"/>
      <c r="F107" s="528"/>
      <c r="G107" s="528"/>
      <c r="R107" s="282"/>
      <c r="T107" s="283"/>
    </row>
    <row r="108" spans="1:20" ht="15">
      <c r="A108" s="527" t="s">
        <v>109</v>
      </c>
      <c r="B108" s="527" t="s">
        <v>108</v>
      </c>
      <c r="C108" s="528" t="s">
        <v>184</v>
      </c>
      <c r="D108" s="528"/>
      <c r="E108" s="528"/>
      <c r="F108" s="528"/>
      <c r="G108" s="528"/>
      <c r="R108" s="282"/>
      <c r="T108" s="283"/>
    </row>
    <row r="109" spans="1:20" ht="15">
      <c r="A109" s="527" t="s">
        <v>110</v>
      </c>
      <c r="B109" s="527" t="s">
        <v>108</v>
      </c>
      <c r="C109" s="528" t="s">
        <v>185</v>
      </c>
      <c r="D109" s="528"/>
      <c r="E109" s="528"/>
      <c r="F109" s="528"/>
      <c r="G109" s="528"/>
      <c r="R109" s="282"/>
      <c r="T109" s="283"/>
    </row>
    <row r="110" spans="1:20" ht="15">
      <c r="A110" s="527"/>
      <c r="B110" s="527"/>
      <c r="C110" s="527"/>
      <c r="D110" s="527"/>
      <c r="E110" s="527"/>
      <c r="F110" s="527"/>
      <c r="G110" s="527"/>
      <c r="R110" s="282"/>
      <c r="T110" s="283"/>
    </row>
    <row r="111" spans="1:20" ht="15">
      <c r="A111" s="527"/>
      <c r="B111" s="527"/>
      <c r="C111" s="527"/>
      <c r="D111" s="527"/>
      <c r="E111" s="527"/>
      <c r="F111" s="527"/>
      <c r="G111" s="527"/>
      <c r="R111" s="282"/>
      <c r="T111" s="283"/>
    </row>
    <row r="112" spans="1:20" ht="15.75">
      <c r="A112" s="525"/>
      <c r="B112" s="525"/>
      <c r="C112" s="526" t="s">
        <v>922</v>
      </c>
      <c r="D112" s="526"/>
      <c r="E112" s="526"/>
      <c r="F112" s="526"/>
      <c r="G112" s="526"/>
      <c r="R112" s="282"/>
      <c r="T112" s="283"/>
    </row>
    <row r="113" spans="1:20" ht="15">
      <c r="A113" s="527" t="s">
        <v>80</v>
      </c>
      <c r="B113" s="527">
        <v>120</v>
      </c>
      <c r="C113" s="528" t="s">
        <v>186</v>
      </c>
      <c r="D113" s="528"/>
      <c r="E113" s="528"/>
      <c r="F113" s="528"/>
      <c r="G113" s="528"/>
      <c r="R113" s="282"/>
      <c r="T113" s="283"/>
    </row>
    <row r="114" spans="1:20" ht="15">
      <c r="A114" s="527" t="s">
        <v>81</v>
      </c>
      <c r="B114" s="527">
        <v>120</v>
      </c>
      <c r="C114" s="528" t="s">
        <v>187</v>
      </c>
      <c r="D114" s="528"/>
      <c r="E114" s="528"/>
      <c r="F114" s="528"/>
      <c r="G114" s="528"/>
      <c r="R114" s="282"/>
      <c r="T114" s="283"/>
    </row>
    <row r="115" spans="1:20" ht="15">
      <c r="A115" s="527" t="s">
        <v>82</v>
      </c>
      <c r="B115" s="527">
        <v>120</v>
      </c>
      <c r="C115" s="528" t="s">
        <v>185</v>
      </c>
      <c r="D115" s="528"/>
      <c r="E115" s="528"/>
      <c r="F115" s="528"/>
      <c r="G115" s="528"/>
      <c r="R115" s="282"/>
      <c r="T115" s="283"/>
    </row>
    <row r="116" spans="1:20" ht="15">
      <c r="A116" s="527" t="s">
        <v>83</v>
      </c>
      <c r="B116" s="527">
        <v>120</v>
      </c>
      <c r="C116" s="528" t="s">
        <v>89</v>
      </c>
      <c r="D116" s="528"/>
      <c r="E116" s="528"/>
      <c r="F116" s="528"/>
      <c r="G116" s="528"/>
      <c r="R116" s="282"/>
      <c r="T116" s="283"/>
    </row>
    <row r="117" spans="1:20" ht="15">
      <c r="A117" s="527" t="s">
        <v>84</v>
      </c>
      <c r="B117" s="527">
        <v>120</v>
      </c>
      <c r="C117" s="528" t="s">
        <v>90</v>
      </c>
      <c r="D117" s="528"/>
      <c r="E117" s="528"/>
      <c r="F117" s="528"/>
      <c r="G117" s="528"/>
      <c r="R117" s="282"/>
      <c r="T117" s="283"/>
    </row>
    <row r="118" spans="1:20" ht="15">
      <c r="A118" s="527"/>
      <c r="B118" s="527"/>
      <c r="C118" s="528"/>
      <c r="D118" s="528"/>
      <c r="E118" s="528"/>
      <c r="F118" s="528"/>
      <c r="G118" s="528"/>
      <c r="R118" s="282"/>
      <c r="T118" s="283"/>
    </row>
    <row r="119" spans="1:20" ht="15">
      <c r="A119" s="527"/>
      <c r="B119" s="527"/>
      <c r="C119" s="527"/>
      <c r="D119" s="527"/>
      <c r="E119" s="527"/>
      <c r="F119" s="527"/>
      <c r="G119" s="527"/>
      <c r="R119" s="282"/>
      <c r="T119" s="283"/>
    </row>
    <row r="120" spans="1:20" ht="15.75">
      <c r="A120" s="525"/>
      <c r="B120" s="525"/>
      <c r="C120" s="526" t="s">
        <v>925</v>
      </c>
      <c r="D120" s="526"/>
      <c r="E120" s="526"/>
      <c r="F120" s="526"/>
      <c r="G120" s="526"/>
      <c r="R120" s="282"/>
      <c r="T120" s="283"/>
    </row>
    <row r="121" spans="1:20" ht="15">
      <c r="A121" s="527" t="s">
        <v>112</v>
      </c>
      <c r="B121" s="527" t="s">
        <v>113</v>
      </c>
      <c r="C121" s="528" t="s">
        <v>186</v>
      </c>
      <c r="D121" s="528"/>
      <c r="E121" s="528"/>
      <c r="F121" s="528"/>
      <c r="G121" s="528"/>
      <c r="R121" s="282"/>
      <c r="T121" s="283"/>
    </row>
    <row r="122" spans="1:20" ht="15">
      <c r="A122" s="527" t="s">
        <v>114</v>
      </c>
      <c r="B122" s="527" t="s">
        <v>113</v>
      </c>
      <c r="C122" s="528" t="s">
        <v>187</v>
      </c>
      <c r="D122" s="528"/>
      <c r="E122" s="528"/>
      <c r="F122" s="528"/>
      <c r="G122" s="528"/>
      <c r="R122" s="282"/>
      <c r="T122" s="283"/>
    </row>
    <row r="123" spans="1:20" ht="15">
      <c r="A123" s="527" t="s">
        <v>115</v>
      </c>
      <c r="B123" s="527" t="s">
        <v>113</v>
      </c>
      <c r="C123" s="528" t="s">
        <v>185</v>
      </c>
      <c r="D123" s="528"/>
      <c r="E123" s="528"/>
      <c r="F123" s="528"/>
      <c r="G123" s="528"/>
      <c r="R123" s="282"/>
      <c r="T123" s="283"/>
    </row>
    <row r="124" spans="1:20" ht="15">
      <c r="A124" s="527" t="s">
        <v>117</v>
      </c>
      <c r="B124" s="527" t="s">
        <v>113</v>
      </c>
      <c r="C124" s="528" t="s">
        <v>89</v>
      </c>
      <c r="D124" s="528"/>
      <c r="E124" s="528"/>
      <c r="F124" s="528"/>
      <c r="G124" s="528"/>
      <c r="R124" s="282"/>
      <c r="T124" s="283"/>
    </row>
    <row r="125" spans="1:20" ht="15">
      <c r="A125" s="527" t="s">
        <v>118</v>
      </c>
      <c r="B125" s="527" t="s">
        <v>113</v>
      </c>
      <c r="C125" s="528" t="s">
        <v>90</v>
      </c>
      <c r="D125" s="528"/>
      <c r="E125" s="528"/>
      <c r="F125" s="528"/>
      <c r="G125" s="528"/>
      <c r="R125" s="282"/>
      <c r="T125" s="283"/>
    </row>
    <row r="126" spans="1:20" ht="15">
      <c r="A126" s="527"/>
      <c r="B126" s="527"/>
      <c r="C126" s="527"/>
      <c r="D126" s="527"/>
      <c r="E126" s="527"/>
      <c r="F126" s="527"/>
      <c r="G126" s="527"/>
      <c r="R126" s="282"/>
      <c r="T126" s="283"/>
    </row>
    <row r="127" spans="1:20" ht="15">
      <c r="A127" s="527"/>
      <c r="B127" s="527"/>
      <c r="C127" s="527"/>
      <c r="D127" s="527"/>
      <c r="E127" s="527"/>
      <c r="F127" s="527"/>
      <c r="G127" s="527"/>
      <c r="R127" s="282"/>
      <c r="T127" s="283"/>
    </row>
    <row r="128" spans="1:20" ht="15.75">
      <c r="A128" s="525"/>
      <c r="B128" s="525"/>
      <c r="C128" s="526" t="s">
        <v>923</v>
      </c>
      <c r="D128" s="526"/>
      <c r="E128" s="526"/>
      <c r="F128" s="526"/>
      <c r="G128" s="526"/>
      <c r="R128" s="282"/>
      <c r="T128" s="283"/>
    </row>
    <row r="129" spans="1:20" ht="15">
      <c r="A129" s="527" t="s">
        <v>91</v>
      </c>
      <c r="B129" s="527">
        <v>200</v>
      </c>
      <c r="C129" s="528" t="s">
        <v>186</v>
      </c>
      <c r="D129" s="528"/>
      <c r="E129" s="528"/>
      <c r="F129" s="528"/>
      <c r="G129" s="528"/>
      <c r="R129" s="282"/>
      <c r="T129" s="283"/>
    </row>
    <row r="130" spans="1:20" ht="15">
      <c r="A130" s="527" t="s">
        <v>92</v>
      </c>
      <c r="B130" s="527">
        <v>200</v>
      </c>
      <c r="C130" s="528" t="s">
        <v>188</v>
      </c>
      <c r="D130" s="528"/>
      <c r="E130" s="528"/>
      <c r="F130" s="528"/>
      <c r="G130" s="528"/>
      <c r="R130" s="282"/>
      <c r="T130" s="283"/>
    </row>
    <row r="131" spans="1:20" ht="15">
      <c r="A131" s="527" t="s">
        <v>95</v>
      </c>
      <c r="B131" s="527">
        <v>200</v>
      </c>
      <c r="C131" s="528" t="s">
        <v>187</v>
      </c>
      <c r="D131" s="528"/>
      <c r="E131" s="528"/>
      <c r="F131" s="528"/>
      <c r="G131" s="528"/>
      <c r="R131" s="282"/>
      <c r="T131" s="283"/>
    </row>
    <row r="132" spans="1:20" ht="15">
      <c r="A132" s="527" t="s">
        <v>96</v>
      </c>
      <c r="B132" s="527">
        <v>200</v>
      </c>
      <c r="C132" s="528" t="s">
        <v>189</v>
      </c>
      <c r="D132" s="528"/>
      <c r="E132" s="528"/>
      <c r="F132" s="528"/>
      <c r="G132" s="528"/>
      <c r="R132" s="282"/>
      <c r="T132" s="283"/>
    </row>
    <row r="133" spans="1:20" ht="15">
      <c r="A133" s="527" t="s">
        <v>97</v>
      </c>
      <c r="B133" s="527">
        <v>200</v>
      </c>
      <c r="C133" s="528" t="s">
        <v>185</v>
      </c>
      <c r="D133" s="528"/>
      <c r="E133" s="528"/>
      <c r="F133" s="528"/>
      <c r="G133" s="528"/>
      <c r="R133" s="282"/>
      <c r="T133" s="283"/>
    </row>
    <row r="134" spans="1:20" ht="15">
      <c r="A134" s="527" t="s">
        <v>98</v>
      </c>
      <c r="B134" s="527">
        <v>200</v>
      </c>
      <c r="C134" s="528" t="s">
        <v>90</v>
      </c>
      <c r="D134" s="528"/>
      <c r="E134" s="528"/>
      <c r="F134" s="528"/>
      <c r="G134" s="528"/>
      <c r="R134" s="282"/>
      <c r="T134" s="283"/>
    </row>
    <row r="135" spans="1:20" ht="15">
      <c r="A135" s="527" t="s">
        <v>99</v>
      </c>
      <c r="B135" s="527">
        <v>200</v>
      </c>
      <c r="C135" s="528" t="s">
        <v>190</v>
      </c>
      <c r="D135" s="528"/>
      <c r="E135" s="528"/>
      <c r="F135" s="528"/>
      <c r="G135" s="528"/>
      <c r="R135" s="282"/>
      <c r="T135" s="283"/>
    </row>
    <row r="136" spans="1:20" ht="15">
      <c r="A136" s="527" t="s">
        <v>100</v>
      </c>
      <c r="B136" s="527">
        <v>200</v>
      </c>
      <c r="C136" s="528" t="s">
        <v>191</v>
      </c>
      <c r="D136" s="528"/>
      <c r="E136" s="528"/>
      <c r="F136" s="528"/>
      <c r="G136" s="528"/>
      <c r="R136" s="282"/>
      <c r="T136" s="283"/>
    </row>
    <row r="137" spans="1:20" ht="15">
      <c r="A137" s="527"/>
      <c r="B137" s="527"/>
      <c r="C137" s="527"/>
      <c r="D137" s="527"/>
      <c r="E137" s="527"/>
      <c r="F137" s="527"/>
      <c r="G137" s="527"/>
      <c r="R137" s="282"/>
      <c r="T137" s="283"/>
    </row>
    <row r="138" spans="1:20" ht="15">
      <c r="A138" s="527"/>
      <c r="B138" s="527"/>
      <c r="C138" s="527"/>
      <c r="D138" s="527"/>
      <c r="E138" s="527"/>
      <c r="F138" s="527"/>
      <c r="G138" s="527"/>
      <c r="R138" s="282"/>
      <c r="T138" s="283"/>
    </row>
    <row r="139" spans="1:20" ht="15.75">
      <c r="A139" s="525"/>
      <c r="B139" s="525"/>
      <c r="C139" s="526" t="s">
        <v>926</v>
      </c>
      <c r="D139" s="526"/>
      <c r="E139" s="526"/>
      <c r="F139" s="526"/>
      <c r="G139" s="526"/>
      <c r="R139" s="282"/>
      <c r="T139" s="283"/>
    </row>
    <row r="140" spans="1:20" ht="15">
      <c r="A140" s="527" t="s">
        <v>119</v>
      </c>
      <c r="B140" s="527" t="s">
        <v>120</v>
      </c>
      <c r="C140" s="528" t="s">
        <v>186</v>
      </c>
      <c r="D140" s="528"/>
      <c r="E140" s="528"/>
      <c r="F140" s="528"/>
      <c r="G140" s="528"/>
      <c r="R140" s="282"/>
      <c r="T140" s="283"/>
    </row>
    <row r="141" spans="1:20" ht="15">
      <c r="A141" s="527" t="s">
        <v>121</v>
      </c>
      <c r="B141" s="527" t="s">
        <v>120</v>
      </c>
      <c r="C141" s="528" t="s">
        <v>188</v>
      </c>
      <c r="D141" s="528"/>
      <c r="E141" s="528"/>
      <c r="F141" s="528"/>
      <c r="G141" s="528"/>
      <c r="R141" s="282"/>
      <c r="T141" s="283"/>
    </row>
    <row r="142" spans="1:20" ht="15">
      <c r="A142" s="527" t="s">
        <v>122</v>
      </c>
      <c r="B142" s="527" t="s">
        <v>120</v>
      </c>
      <c r="C142" s="528" t="s">
        <v>187</v>
      </c>
      <c r="D142" s="528"/>
      <c r="E142" s="528"/>
      <c r="F142" s="528"/>
      <c r="G142" s="528"/>
      <c r="R142" s="282"/>
      <c r="T142" s="283"/>
    </row>
    <row r="143" spans="1:20" ht="15">
      <c r="A143" s="527" t="s">
        <v>123</v>
      </c>
      <c r="B143" s="527" t="s">
        <v>120</v>
      </c>
      <c r="C143" s="528" t="s">
        <v>189</v>
      </c>
      <c r="D143" s="528"/>
      <c r="E143" s="528"/>
      <c r="F143" s="528"/>
      <c r="G143" s="528"/>
      <c r="R143" s="282"/>
      <c r="T143" s="283"/>
    </row>
    <row r="144" spans="1:20" ht="15">
      <c r="A144" s="527" t="s">
        <v>124</v>
      </c>
      <c r="B144" s="527" t="s">
        <v>120</v>
      </c>
      <c r="C144" s="528" t="s">
        <v>185</v>
      </c>
      <c r="D144" s="528"/>
      <c r="E144" s="528"/>
      <c r="F144" s="528"/>
      <c r="G144" s="528"/>
      <c r="R144" s="282"/>
      <c r="T144" s="283"/>
    </row>
    <row r="145" spans="1:20" ht="15">
      <c r="A145" s="527" t="s">
        <v>126</v>
      </c>
      <c r="B145" s="527" t="s">
        <v>120</v>
      </c>
      <c r="C145" s="528" t="s">
        <v>90</v>
      </c>
      <c r="D145" s="528"/>
      <c r="E145" s="528"/>
      <c r="F145" s="528"/>
      <c r="G145" s="528"/>
      <c r="R145" s="282"/>
      <c r="T145" s="283"/>
    </row>
    <row r="146" spans="1:20" ht="15">
      <c r="A146" s="527" t="s">
        <v>127</v>
      </c>
      <c r="B146" s="527" t="s">
        <v>120</v>
      </c>
      <c r="C146" s="528" t="s">
        <v>190</v>
      </c>
      <c r="D146" s="528"/>
      <c r="E146" s="528"/>
      <c r="F146" s="528"/>
      <c r="G146" s="528"/>
      <c r="R146" s="282"/>
      <c r="T146" s="283"/>
    </row>
    <row r="147" spans="1:20" ht="15">
      <c r="A147" s="527" t="s">
        <v>128</v>
      </c>
      <c r="B147" s="527" t="s">
        <v>120</v>
      </c>
      <c r="C147" s="528" t="s">
        <v>191</v>
      </c>
      <c r="D147" s="528"/>
      <c r="E147" s="528"/>
      <c r="F147" s="528"/>
      <c r="G147" s="528"/>
      <c r="R147" s="282"/>
      <c r="T147" s="283"/>
    </row>
    <row r="148" spans="1:20" ht="15">
      <c r="A148" s="527"/>
      <c r="B148" s="527"/>
      <c r="C148" s="527"/>
      <c r="D148" s="527"/>
      <c r="E148" s="527"/>
      <c r="F148" s="527"/>
      <c r="G148" s="527"/>
      <c r="R148" s="282"/>
      <c r="T148" s="283"/>
    </row>
    <row r="149" spans="1:20" ht="15">
      <c r="A149" s="527"/>
      <c r="B149" s="527"/>
      <c r="C149" s="527"/>
      <c r="D149" s="527"/>
      <c r="E149" s="527"/>
      <c r="F149" s="527"/>
      <c r="G149" s="527"/>
      <c r="R149" s="282"/>
      <c r="T149" s="283"/>
    </row>
    <row r="150" spans="1:20" ht="15.75">
      <c r="A150" s="527"/>
      <c r="B150" s="527"/>
      <c r="C150" s="526" t="s">
        <v>724</v>
      </c>
      <c r="D150" s="526"/>
      <c r="E150" s="526"/>
      <c r="F150" s="526"/>
      <c r="G150" s="526"/>
      <c r="R150" s="282"/>
      <c r="T150" s="283"/>
    </row>
    <row r="151" spans="1:20" ht="15">
      <c r="A151" s="527" t="s">
        <v>195</v>
      </c>
      <c r="B151" s="527"/>
      <c r="C151" s="528" t="s">
        <v>193</v>
      </c>
      <c r="D151" s="528"/>
      <c r="E151" s="528"/>
      <c r="F151" s="528"/>
      <c r="G151" s="528"/>
      <c r="R151" s="282"/>
      <c r="T151" s="283"/>
    </row>
    <row r="152" spans="1:20" ht="15">
      <c r="A152" s="527" t="s">
        <v>195</v>
      </c>
      <c r="B152" s="527"/>
      <c r="C152" s="528" t="s">
        <v>194</v>
      </c>
      <c r="D152" s="528"/>
      <c r="E152" s="528"/>
      <c r="F152" s="528"/>
      <c r="G152" s="528"/>
      <c r="R152" s="282"/>
      <c r="T152" s="283"/>
    </row>
    <row r="153" spans="1:20" ht="15.75">
      <c r="A153" s="527" t="s">
        <v>196</v>
      </c>
      <c r="B153" s="527"/>
      <c r="C153" s="528" t="s">
        <v>197</v>
      </c>
      <c r="D153" s="528"/>
      <c r="E153" s="528"/>
      <c r="F153" s="528"/>
      <c r="G153" s="528"/>
      <c r="R153" s="282"/>
      <c r="T153" s="283"/>
    </row>
    <row r="154" spans="1:20" ht="15.75">
      <c r="A154" s="527" t="s">
        <v>196</v>
      </c>
      <c r="B154" s="527"/>
      <c r="C154" s="528" t="s">
        <v>198</v>
      </c>
      <c r="D154" s="528"/>
      <c r="E154" s="528"/>
      <c r="F154" s="528"/>
      <c r="G154" s="528"/>
      <c r="R154" s="282"/>
      <c r="T154" s="283"/>
    </row>
    <row r="155" spans="18:20" ht="12.75">
      <c r="R155" s="282"/>
      <c r="T155" s="283"/>
    </row>
    <row r="156" spans="18:20" ht="12.75">
      <c r="R156" s="282"/>
      <c r="T156" s="283"/>
    </row>
    <row r="157" spans="18:20" ht="12.75">
      <c r="R157" s="282"/>
      <c r="T157" s="283"/>
    </row>
    <row r="158" spans="18:20" ht="12.75">
      <c r="R158" s="282"/>
      <c r="T158" s="283"/>
    </row>
    <row r="159" spans="18:20" ht="12.75">
      <c r="R159" s="282"/>
      <c r="T159" s="283"/>
    </row>
    <row r="160" spans="18:20" ht="12.75">
      <c r="R160" s="282"/>
      <c r="T160" s="283"/>
    </row>
    <row r="161" spans="18:20" ht="12.75">
      <c r="R161" s="282"/>
      <c r="T161" s="283"/>
    </row>
    <row r="162" spans="18:20" ht="12.75">
      <c r="R162" s="282"/>
      <c r="T162" s="283"/>
    </row>
    <row r="163" spans="18:20" ht="12.75">
      <c r="R163" s="282"/>
      <c r="T163" s="283"/>
    </row>
    <row r="164" spans="18:20" ht="12.75">
      <c r="R164" s="282"/>
      <c r="T164" s="283"/>
    </row>
    <row r="165" spans="18:20" ht="12.75">
      <c r="R165" s="282"/>
      <c r="T165" s="283"/>
    </row>
    <row r="166" spans="18:20" ht="12.75">
      <c r="R166" s="282"/>
      <c r="T166" s="283"/>
    </row>
    <row r="167" spans="18:20" ht="12.75">
      <c r="R167" s="282"/>
      <c r="T167" s="283"/>
    </row>
    <row r="168" spans="18:20" ht="12.75">
      <c r="R168" s="282"/>
      <c r="T168" s="283"/>
    </row>
    <row r="169" spans="18:20" ht="12.75">
      <c r="R169" s="282"/>
      <c r="T169" s="283"/>
    </row>
    <row r="170" spans="18:20" ht="12.75">
      <c r="R170" s="282"/>
      <c r="T170" s="283"/>
    </row>
    <row r="171" spans="18:20" ht="12.75">
      <c r="R171" s="282"/>
      <c r="T171" s="283"/>
    </row>
    <row r="172" spans="18:20" ht="12.75">
      <c r="R172" s="282"/>
      <c r="T172" s="283"/>
    </row>
    <row r="173" spans="18:20" ht="12.75">
      <c r="R173" s="282"/>
      <c r="T173" s="283"/>
    </row>
    <row r="174" spans="18:20" ht="12.75">
      <c r="R174" s="282"/>
      <c r="T174" s="283"/>
    </row>
    <row r="175" spans="18:20" ht="12.75">
      <c r="R175" s="282"/>
      <c r="T175" s="283"/>
    </row>
    <row r="176" spans="18:20" ht="12.75">
      <c r="R176" s="282"/>
      <c r="T176" s="283"/>
    </row>
    <row r="177" spans="18:20" ht="12.75">
      <c r="R177" s="282"/>
      <c r="T177" s="283"/>
    </row>
    <row r="178" spans="18:20" ht="12.75">
      <c r="R178" s="282"/>
      <c r="T178" s="283"/>
    </row>
    <row r="179" spans="18:20" ht="12.75">
      <c r="R179" s="282"/>
      <c r="T179" s="283"/>
    </row>
    <row r="180" spans="18:20" ht="12.75">
      <c r="R180" s="282"/>
      <c r="T180" s="283"/>
    </row>
    <row r="181" spans="18:20" ht="12.75">
      <c r="R181" s="282"/>
      <c r="T181" s="283"/>
    </row>
    <row r="182" spans="18:20" ht="12.75">
      <c r="R182" s="282"/>
      <c r="T182" s="283"/>
    </row>
    <row r="183" spans="18:20" ht="12.75">
      <c r="R183" s="282"/>
      <c r="T183" s="283"/>
    </row>
    <row r="184" spans="18:20" ht="12.75">
      <c r="R184" s="282"/>
      <c r="T184" s="283"/>
    </row>
    <row r="185" spans="18:20" ht="12.75">
      <c r="R185" s="282"/>
      <c r="T185" s="283"/>
    </row>
    <row r="186" spans="18:20" ht="12.75">
      <c r="R186" s="282"/>
      <c r="T186" s="283"/>
    </row>
    <row r="187" spans="18:20" ht="12.75">
      <c r="R187" s="282"/>
      <c r="T187" s="283"/>
    </row>
    <row r="188" spans="18:20" ht="12.75">
      <c r="R188" s="282"/>
      <c r="T188" s="283"/>
    </row>
    <row r="189" spans="18:20" ht="12.75">
      <c r="R189" s="282"/>
      <c r="T189" s="283"/>
    </row>
    <row r="190" spans="18:20" ht="12.75">
      <c r="R190" s="282"/>
      <c r="T190" s="283"/>
    </row>
    <row r="191" spans="18:20" ht="12.75">
      <c r="R191" s="282"/>
      <c r="T191" s="283"/>
    </row>
    <row r="192" spans="18:20" ht="12.75">
      <c r="R192" s="282"/>
      <c r="T192" s="283"/>
    </row>
    <row r="193" spans="18:20" ht="12.75">
      <c r="R193" s="282"/>
      <c r="T193" s="283"/>
    </row>
    <row r="194" spans="18:20" ht="12.75">
      <c r="R194" s="282"/>
      <c r="T194" s="283"/>
    </row>
    <row r="195" spans="18:20" ht="12.75">
      <c r="R195" s="282"/>
      <c r="T195" s="283"/>
    </row>
    <row r="196" spans="18:20" ht="12.75">
      <c r="R196" s="282"/>
      <c r="T196" s="283"/>
    </row>
    <row r="197" spans="18:20" ht="12.75">
      <c r="R197" s="282"/>
      <c r="T197" s="283"/>
    </row>
    <row r="198" spans="18:20" ht="12.75">
      <c r="R198" s="282"/>
      <c r="T198" s="283"/>
    </row>
    <row r="199" spans="18:20" ht="12.75">
      <c r="R199" s="282"/>
      <c r="T199" s="283"/>
    </row>
    <row r="200" spans="18:20" ht="12.75">
      <c r="R200" s="282"/>
      <c r="T200" s="283"/>
    </row>
    <row r="201" spans="18:20" ht="12.75">
      <c r="R201" s="282"/>
      <c r="T201" s="283"/>
    </row>
    <row r="202" spans="18:20" ht="12.75">
      <c r="R202" s="282"/>
      <c r="T202" s="283"/>
    </row>
    <row r="203" spans="18:20" ht="12.75">
      <c r="R203" s="282"/>
      <c r="T203" s="283"/>
    </row>
    <row r="204" spans="18:20" ht="12.75">
      <c r="R204" s="282"/>
      <c r="T204" s="283"/>
    </row>
    <row r="205" spans="18:20" ht="12.75">
      <c r="R205" s="282"/>
      <c r="T205" s="283"/>
    </row>
    <row r="206" spans="18:20" ht="12.75">
      <c r="R206" s="282"/>
      <c r="T206" s="283"/>
    </row>
    <row r="207" spans="18:20" ht="12.75">
      <c r="R207" s="282"/>
      <c r="T207" s="283"/>
    </row>
    <row r="208" spans="18:20" ht="12.75">
      <c r="R208" s="282"/>
      <c r="T208" s="283"/>
    </row>
    <row r="209" spans="18:20" ht="12.75">
      <c r="R209" s="282"/>
      <c r="T209" s="283"/>
    </row>
    <row r="210" spans="18:20" ht="12.75">
      <c r="R210" s="282"/>
      <c r="T210" s="283"/>
    </row>
    <row r="211" spans="18:20" ht="12.75">
      <c r="R211" s="282"/>
      <c r="T211" s="283"/>
    </row>
    <row r="212" spans="18:20" ht="12.75">
      <c r="R212" s="282"/>
      <c r="T212" s="283"/>
    </row>
    <row r="213" spans="18:20" ht="12.75">
      <c r="R213" s="282"/>
      <c r="T213" s="283"/>
    </row>
    <row r="214" spans="18:20" ht="12.75">
      <c r="R214" s="282"/>
      <c r="T214" s="283"/>
    </row>
    <row r="215" spans="18:20" ht="12.75">
      <c r="R215" s="282"/>
      <c r="T215" s="283"/>
    </row>
    <row r="216" spans="18:20" ht="12.75">
      <c r="R216" s="282"/>
      <c r="T216" s="283"/>
    </row>
    <row r="217" spans="18:20" ht="12.75">
      <c r="R217" s="282"/>
      <c r="T217" s="283"/>
    </row>
    <row r="218" spans="18:20" ht="12.75">
      <c r="R218" s="282"/>
      <c r="T218" s="283"/>
    </row>
    <row r="219" spans="18:20" ht="12.75">
      <c r="R219" s="282"/>
      <c r="T219" s="283"/>
    </row>
    <row r="220" spans="18:20" ht="12.75">
      <c r="R220" s="282"/>
      <c r="T220" s="283"/>
    </row>
    <row r="221" spans="18:20" ht="12.75">
      <c r="R221" s="282"/>
      <c r="T221" s="283"/>
    </row>
    <row r="222" spans="18:20" ht="12.75">
      <c r="R222" s="282"/>
      <c r="T222" s="283"/>
    </row>
    <row r="223" spans="18:20" ht="12.75">
      <c r="R223" s="282"/>
      <c r="T223" s="283"/>
    </row>
    <row r="224" spans="18:20" ht="12.75">
      <c r="R224" s="282"/>
      <c r="T224" s="283"/>
    </row>
    <row r="225" spans="18:20" ht="12.75">
      <c r="R225" s="282"/>
      <c r="T225" s="283"/>
    </row>
    <row r="226" spans="18:20" ht="12.75">
      <c r="R226" s="282"/>
      <c r="T226" s="283"/>
    </row>
    <row r="227" spans="18:20" ht="12.75">
      <c r="R227" s="282"/>
      <c r="T227" s="283"/>
    </row>
    <row r="228" spans="18:20" ht="12.75">
      <c r="R228" s="282"/>
      <c r="T228" s="283"/>
    </row>
    <row r="229" spans="18:20" ht="12.75">
      <c r="R229" s="282"/>
      <c r="T229" s="283"/>
    </row>
    <row r="230" spans="18:20" ht="12.75">
      <c r="R230" s="282"/>
      <c r="T230" s="283"/>
    </row>
    <row r="231" spans="18:20" ht="12.75">
      <c r="R231" s="282"/>
      <c r="T231" s="283"/>
    </row>
    <row r="232" spans="18:20" ht="12.75">
      <c r="R232" s="282"/>
      <c r="T232" s="283"/>
    </row>
    <row r="233" spans="18:20" ht="12.75">
      <c r="R233" s="282"/>
      <c r="T233" s="283"/>
    </row>
    <row r="234" spans="18:20" ht="12.75">
      <c r="R234" s="282"/>
      <c r="T234" s="283"/>
    </row>
    <row r="235" spans="18:20" ht="12.75">
      <c r="R235" s="282"/>
      <c r="T235" s="283"/>
    </row>
    <row r="236" spans="18:20" ht="12.75">
      <c r="R236" s="282"/>
      <c r="T236" s="283"/>
    </row>
    <row r="237" spans="18:20" ht="12.75">
      <c r="R237" s="282"/>
      <c r="T237" s="283"/>
    </row>
    <row r="238" spans="18:20" ht="12.75">
      <c r="R238" s="282"/>
      <c r="T238" s="283"/>
    </row>
    <row r="239" spans="18:20" ht="12.75">
      <c r="R239" s="282"/>
      <c r="T239" s="283"/>
    </row>
    <row r="240" spans="18:20" ht="12.75">
      <c r="R240" s="282"/>
      <c r="T240" s="283"/>
    </row>
    <row r="241" spans="18:20" ht="12.75">
      <c r="R241" s="282"/>
      <c r="T241" s="283"/>
    </row>
    <row r="242" spans="18:20" ht="12.75">
      <c r="R242" s="282"/>
      <c r="T242" s="283"/>
    </row>
    <row r="243" spans="18:20" ht="12.75">
      <c r="R243" s="282"/>
      <c r="T243" s="283"/>
    </row>
    <row r="244" spans="18:20" ht="12.75">
      <c r="R244" s="282"/>
      <c r="T244" s="283"/>
    </row>
    <row r="245" spans="18:20" ht="12.75">
      <c r="R245" s="282"/>
      <c r="T245" s="283"/>
    </row>
    <row r="246" spans="18:20" ht="12.75">
      <c r="R246" s="282"/>
      <c r="T246" s="283"/>
    </row>
    <row r="247" spans="18:20" ht="12.75">
      <c r="R247" s="282"/>
      <c r="T247" s="283"/>
    </row>
    <row r="248" spans="18:20" ht="12.75">
      <c r="R248" s="282"/>
      <c r="T248" s="283"/>
    </row>
    <row r="249" spans="18:20" ht="12.75">
      <c r="R249" s="282"/>
      <c r="T249" s="283"/>
    </row>
    <row r="250" spans="18:20" ht="12.75">
      <c r="R250" s="282"/>
      <c r="T250" s="283"/>
    </row>
    <row r="251" spans="18:20" ht="12.75">
      <c r="R251" s="282"/>
      <c r="T251" s="283"/>
    </row>
    <row r="252" spans="18:20" ht="12.75">
      <c r="R252" s="282"/>
      <c r="T252" s="283"/>
    </row>
    <row r="253" spans="18:20" ht="12.75">
      <c r="R253" s="282"/>
      <c r="T253" s="283"/>
    </row>
    <row r="254" spans="18:20" ht="12.75">
      <c r="R254" s="282"/>
      <c r="T254" s="283"/>
    </row>
    <row r="255" spans="18:20" ht="12.75">
      <c r="R255" s="282"/>
      <c r="T255" s="283"/>
    </row>
    <row r="256" spans="18:20" ht="12.75">
      <c r="R256" s="282"/>
      <c r="T256" s="283"/>
    </row>
    <row r="257" spans="18:20" ht="12.75">
      <c r="R257" s="282"/>
      <c r="T257" s="283"/>
    </row>
    <row r="258" spans="18:20" ht="12.75">
      <c r="R258" s="282"/>
      <c r="T258" s="283"/>
    </row>
    <row r="259" spans="18:20" ht="12.75">
      <c r="R259" s="282"/>
      <c r="T259" s="283"/>
    </row>
    <row r="260" spans="18:20" ht="12.75">
      <c r="R260" s="282"/>
      <c r="T260" s="283"/>
    </row>
    <row r="261" spans="18:20" ht="12.75">
      <c r="R261" s="282"/>
      <c r="T261" s="283"/>
    </row>
    <row r="262" spans="18:20" ht="12.75">
      <c r="R262" s="282"/>
      <c r="T262" s="283"/>
    </row>
    <row r="263" spans="18:20" ht="12.75">
      <c r="R263" s="282"/>
      <c r="T263" s="283"/>
    </row>
    <row r="264" spans="18:20" ht="12.75">
      <c r="R264" s="282"/>
      <c r="T264" s="283"/>
    </row>
    <row r="265" spans="18:20" ht="12.75">
      <c r="R265" s="282"/>
      <c r="T265" s="283"/>
    </row>
    <row r="266" spans="18:20" ht="12.75">
      <c r="R266" s="282"/>
      <c r="T266" s="283"/>
    </row>
    <row r="267" spans="18:20" ht="12.75">
      <c r="R267" s="282"/>
      <c r="T267" s="283"/>
    </row>
    <row r="268" spans="18:20" ht="12.75">
      <c r="R268" s="282"/>
      <c r="T268" s="283"/>
    </row>
    <row r="269" spans="18:20" ht="12.75">
      <c r="R269" s="282"/>
      <c r="T269" s="283"/>
    </row>
    <row r="270" spans="18:20" ht="12.75">
      <c r="R270" s="282"/>
      <c r="T270" s="283"/>
    </row>
    <row r="271" spans="18:20" ht="12.75">
      <c r="R271" s="282"/>
      <c r="T271" s="283"/>
    </row>
    <row r="272" spans="18:20" ht="12.75">
      <c r="R272" s="282"/>
      <c r="T272" s="283"/>
    </row>
    <row r="273" spans="18:20" ht="12.75">
      <c r="R273" s="282"/>
      <c r="T273" s="283"/>
    </row>
    <row r="274" spans="18:20" ht="12.75">
      <c r="R274" s="282"/>
      <c r="T274" s="283"/>
    </row>
    <row r="275" spans="18:20" ht="12.75">
      <c r="R275" s="282"/>
      <c r="T275" s="283"/>
    </row>
    <row r="276" spans="18:20" ht="12.75">
      <c r="R276" s="282"/>
      <c r="T276" s="283"/>
    </row>
    <row r="277" spans="18:20" ht="12.75">
      <c r="R277" s="282"/>
      <c r="T277" s="283"/>
    </row>
    <row r="278" spans="18:20" ht="12.75">
      <c r="R278" s="282"/>
      <c r="T278" s="283"/>
    </row>
    <row r="279" spans="18:20" ht="12.75">
      <c r="R279" s="282"/>
      <c r="T279" s="283"/>
    </row>
    <row r="280" spans="18:20" ht="12.75">
      <c r="R280" s="282"/>
      <c r="T280" s="283"/>
    </row>
    <row r="281" spans="18:20" ht="12.75">
      <c r="R281" s="282"/>
      <c r="T281" s="283"/>
    </row>
    <row r="282" spans="18:20" ht="12.75">
      <c r="R282" s="282"/>
      <c r="T282" s="283"/>
    </row>
    <row r="283" spans="18:20" ht="12.75">
      <c r="R283" s="282"/>
      <c r="T283" s="283"/>
    </row>
    <row r="284" spans="18:20" ht="12.75">
      <c r="R284" s="282"/>
      <c r="T284" s="283"/>
    </row>
    <row r="285" spans="18:20" ht="12.75">
      <c r="R285" s="282"/>
      <c r="T285" s="283"/>
    </row>
    <row r="286" spans="18:20" ht="12.75">
      <c r="R286" s="282"/>
      <c r="T286" s="283"/>
    </row>
    <row r="287" spans="18:20" ht="12.75">
      <c r="R287" s="282"/>
      <c r="T287" s="283"/>
    </row>
    <row r="288" spans="18:20" ht="12.75">
      <c r="R288" s="282"/>
      <c r="T288" s="283"/>
    </row>
    <row r="289" spans="18:20" ht="12.75">
      <c r="R289" s="282"/>
      <c r="T289" s="283"/>
    </row>
    <row r="290" spans="18:20" ht="12.75">
      <c r="R290" s="282"/>
      <c r="T290" s="283"/>
    </row>
    <row r="291" spans="18:20" ht="12.75">
      <c r="R291" s="282"/>
      <c r="T291" s="283"/>
    </row>
    <row r="292" spans="18:20" ht="12.75">
      <c r="R292" s="282"/>
      <c r="T292" s="283"/>
    </row>
    <row r="293" spans="18:20" ht="12.75">
      <c r="R293" s="282"/>
      <c r="T293" s="283"/>
    </row>
    <row r="294" spans="18:20" ht="12.75">
      <c r="R294" s="282"/>
      <c r="T294" s="283"/>
    </row>
    <row r="295" spans="18:20" ht="12.75">
      <c r="R295" s="282"/>
      <c r="T295" s="283"/>
    </row>
    <row r="296" spans="18:20" ht="12.75">
      <c r="R296" s="282"/>
      <c r="T296" s="283"/>
    </row>
    <row r="297" spans="18:20" ht="12.75">
      <c r="R297" s="282"/>
      <c r="T297" s="283"/>
    </row>
    <row r="298" spans="18:20" ht="12.75">
      <c r="R298" s="282"/>
      <c r="T298" s="283"/>
    </row>
    <row r="299" spans="18:20" ht="12.75">
      <c r="R299" s="282"/>
      <c r="T299" s="283"/>
    </row>
    <row r="300" spans="18:20" ht="12.75">
      <c r="R300" s="282"/>
      <c r="T300" s="283"/>
    </row>
    <row r="301" spans="18:20" ht="12.75">
      <c r="R301" s="282"/>
      <c r="T301" s="283"/>
    </row>
    <row r="302" spans="18:20" ht="12.75">
      <c r="R302" s="282"/>
      <c r="T302" s="283"/>
    </row>
    <row r="303" spans="18:20" ht="12.75">
      <c r="R303" s="282"/>
      <c r="T303" s="283"/>
    </row>
    <row r="304" spans="18:20" ht="12.75">
      <c r="R304" s="282"/>
      <c r="T304" s="283"/>
    </row>
    <row r="305" spans="18:20" ht="12.75">
      <c r="R305" s="282"/>
      <c r="T305" s="283"/>
    </row>
    <row r="306" spans="18:20" ht="12.75">
      <c r="R306" s="282"/>
      <c r="T306" s="283"/>
    </row>
    <row r="307" spans="18:20" ht="12.75">
      <c r="R307" s="282"/>
      <c r="T307" s="283"/>
    </row>
    <row r="308" spans="18:20" ht="12.75">
      <c r="R308" s="282"/>
      <c r="T308" s="283"/>
    </row>
    <row r="309" spans="18:20" ht="12.75">
      <c r="R309" s="282"/>
      <c r="T309" s="283"/>
    </row>
    <row r="310" spans="18:20" ht="12.75">
      <c r="R310" s="282"/>
      <c r="T310" s="283"/>
    </row>
    <row r="311" spans="18:20" ht="12.75">
      <c r="R311" s="282"/>
      <c r="T311" s="283"/>
    </row>
    <row r="312" spans="18:20" ht="12.75">
      <c r="R312" s="282"/>
      <c r="T312" s="283"/>
    </row>
    <row r="313" spans="18:20" ht="12.75">
      <c r="R313" s="282"/>
      <c r="T313" s="283"/>
    </row>
    <row r="314" spans="18:20" ht="12.75">
      <c r="R314" s="282"/>
      <c r="T314" s="283"/>
    </row>
    <row r="315" spans="18:20" ht="12.75">
      <c r="R315" s="282"/>
      <c r="T315" s="283"/>
    </row>
    <row r="316" spans="18:20" ht="12.75">
      <c r="R316" s="282"/>
      <c r="T316" s="283"/>
    </row>
    <row r="317" spans="18:20" ht="12.75">
      <c r="R317" s="282"/>
      <c r="T317" s="283"/>
    </row>
    <row r="318" spans="18:20" ht="12.75">
      <c r="R318" s="282"/>
      <c r="T318" s="283"/>
    </row>
    <row r="319" spans="18:20" ht="12.75">
      <c r="R319" s="282"/>
      <c r="T319" s="283"/>
    </row>
    <row r="320" spans="18:20" ht="12.75">
      <c r="R320" s="282"/>
      <c r="T320" s="283"/>
    </row>
    <row r="321" spans="18:20" ht="12.75">
      <c r="R321" s="282"/>
      <c r="T321" s="283"/>
    </row>
    <row r="322" spans="18:20" ht="12.75">
      <c r="R322" s="282"/>
      <c r="T322" s="283"/>
    </row>
    <row r="323" spans="18:20" ht="12.75">
      <c r="R323" s="282"/>
      <c r="T323" s="283"/>
    </row>
    <row r="324" spans="18:20" ht="12.75">
      <c r="R324" s="282"/>
      <c r="T324" s="283"/>
    </row>
    <row r="325" spans="18:20" ht="12.75">
      <c r="R325" s="282"/>
      <c r="T325" s="283"/>
    </row>
    <row r="326" spans="18:20" ht="12.75">
      <c r="R326" s="282"/>
      <c r="T326" s="283"/>
    </row>
    <row r="327" spans="18:20" ht="12.75">
      <c r="R327" s="282"/>
      <c r="T327" s="283"/>
    </row>
    <row r="328" spans="18:20" ht="12.75">
      <c r="R328" s="282"/>
      <c r="T328" s="283"/>
    </row>
    <row r="329" spans="18:20" ht="12.75">
      <c r="R329" s="282"/>
      <c r="T329" s="283"/>
    </row>
    <row r="330" spans="18:20" ht="12.75">
      <c r="R330" s="282"/>
      <c r="T330" s="283"/>
    </row>
    <row r="331" spans="18:20" ht="12.75">
      <c r="R331" s="282"/>
      <c r="T331" s="283"/>
    </row>
    <row r="332" spans="18:20" ht="12.75">
      <c r="R332" s="282"/>
      <c r="T332" s="283"/>
    </row>
    <row r="333" spans="18:20" ht="12.75">
      <c r="R333" s="282"/>
      <c r="T333" s="283"/>
    </row>
    <row r="334" spans="18:20" ht="12.75">
      <c r="R334" s="282"/>
      <c r="T334" s="283"/>
    </row>
    <row r="335" spans="18:20" ht="12.75">
      <c r="R335" s="282"/>
      <c r="T335" s="283"/>
    </row>
    <row r="336" spans="18:20" ht="12.75">
      <c r="R336" s="282"/>
      <c r="T336" s="283"/>
    </row>
    <row r="337" spans="18:20" ht="12.75">
      <c r="R337" s="282"/>
      <c r="T337" s="283"/>
    </row>
    <row r="338" spans="18:20" ht="12.75">
      <c r="R338" s="282"/>
      <c r="T338" s="283"/>
    </row>
    <row r="339" spans="18:20" ht="12.75">
      <c r="R339" s="282"/>
      <c r="T339" s="283"/>
    </row>
    <row r="340" spans="18:20" ht="12.75">
      <c r="R340" s="282"/>
      <c r="T340" s="283"/>
    </row>
    <row r="341" spans="18:20" ht="12.75">
      <c r="R341" s="282"/>
      <c r="T341" s="283"/>
    </row>
    <row r="342" spans="18:20" ht="12.75">
      <c r="R342" s="282"/>
      <c r="T342" s="283"/>
    </row>
    <row r="343" spans="18:20" ht="12.75">
      <c r="R343" s="282"/>
      <c r="T343" s="283"/>
    </row>
    <row r="344" spans="18:20" ht="12.75">
      <c r="R344" s="282"/>
      <c r="T344" s="283"/>
    </row>
    <row r="345" spans="18:20" ht="12.75">
      <c r="R345" s="282"/>
      <c r="T345" s="283"/>
    </row>
    <row r="346" spans="18:20" ht="12.75">
      <c r="R346" s="282"/>
      <c r="T346" s="283"/>
    </row>
    <row r="347" spans="18:20" ht="12.75">
      <c r="R347" s="282"/>
      <c r="T347" s="283"/>
    </row>
    <row r="348" spans="18:20" ht="12.75">
      <c r="R348" s="282"/>
      <c r="T348" s="283"/>
    </row>
    <row r="349" spans="18:20" ht="12.75">
      <c r="R349" s="282"/>
      <c r="T349" s="283"/>
    </row>
    <row r="350" spans="18:20" ht="12.75">
      <c r="R350" s="282"/>
      <c r="T350" s="283"/>
    </row>
    <row r="351" spans="18:20" ht="12.75">
      <c r="R351" s="282"/>
      <c r="T351" s="283"/>
    </row>
    <row r="352" spans="18:20" ht="12.75">
      <c r="R352" s="282"/>
      <c r="T352" s="283"/>
    </row>
    <row r="353" spans="18:20" ht="12.75">
      <c r="R353" s="282"/>
      <c r="T353" s="283"/>
    </row>
    <row r="354" spans="18:20" ht="12.75">
      <c r="R354" s="282"/>
      <c r="T354" s="283"/>
    </row>
    <row r="355" spans="18:20" ht="12.75">
      <c r="R355" s="282"/>
      <c r="T355" s="283"/>
    </row>
    <row r="356" spans="18:20" ht="12.75">
      <c r="R356" s="282"/>
      <c r="T356" s="283"/>
    </row>
    <row r="357" spans="18:20" ht="12.75">
      <c r="R357" s="282"/>
      <c r="T357" s="283"/>
    </row>
    <row r="358" spans="18:20" ht="12.75">
      <c r="R358" s="282"/>
      <c r="T358" s="283"/>
    </row>
    <row r="359" spans="18:20" ht="12.75">
      <c r="R359" s="282"/>
      <c r="T359" s="283"/>
    </row>
    <row r="360" spans="18:20" ht="12.75">
      <c r="R360" s="282"/>
      <c r="T360" s="283"/>
    </row>
    <row r="361" spans="18:20" ht="12.75">
      <c r="R361" s="282"/>
      <c r="T361" s="283"/>
    </row>
    <row r="362" spans="18:20" ht="12.75">
      <c r="R362" s="282"/>
      <c r="T362" s="283"/>
    </row>
    <row r="363" spans="18:20" ht="12.75">
      <c r="R363" s="282"/>
      <c r="T363" s="283"/>
    </row>
    <row r="364" spans="18:20" ht="12.75">
      <c r="R364" s="282"/>
      <c r="T364" s="283"/>
    </row>
    <row r="365" spans="18:20" ht="12.75">
      <c r="R365" s="282"/>
      <c r="T365" s="283"/>
    </row>
    <row r="366" spans="18:20" ht="12.75">
      <c r="R366" s="282"/>
      <c r="T366" s="283"/>
    </row>
    <row r="367" spans="18:20" ht="12.75">
      <c r="R367" s="282"/>
      <c r="T367" s="283"/>
    </row>
    <row r="368" spans="18:20" ht="12.75">
      <c r="R368" s="282"/>
      <c r="T368" s="283"/>
    </row>
    <row r="369" spans="18:20" ht="12.75">
      <c r="R369" s="282"/>
      <c r="T369" s="283"/>
    </row>
    <row r="370" spans="18:20" ht="12.75">
      <c r="R370" s="282"/>
      <c r="T370" s="283"/>
    </row>
    <row r="371" spans="18:20" ht="12.75">
      <c r="R371" s="282"/>
      <c r="T371" s="283"/>
    </row>
    <row r="372" spans="18:20" ht="12.75">
      <c r="R372" s="282"/>
      <c r="T372" s="283"/>
    </row>
    <row r="373" spans="18:20" ht="12.75">
      <c r="R373" s="282"/>
      <c r="T373" s="283"/>
    </row>
    <row r="374" spans="18:20" ht="12.75">
      <c r="R374" s="282"/>
      <c r="T374" s="283"/>
    </row>
    <row r="375" spans="18:20" ht="12.75">
      <c r="R375" s="282"/>
      <c r="T375" s="283"/>
    </row>
    <row r="376" spans="18:20" ht="12.75">
      <c r="R376" s="282"/>
      <c r="T376" s="283"/>
    </row>
    <row r="377" spans="18:20" ht="12.75">
      <c r="R377" s="282"/>
      <c r="T377" s="283"/>
    </row>
    <row r="378" spans="18:20" ht="12.75">
      <c r="R378" s="282"/>
      <c r="T378" s="283"/>
    </row>
    <row r="379" spans="18:20" ht="12.75">
      <c r="R379" s="282"/>
      <c r="T379" s="283"/>
    </row>
    <row r="380" spans="18:20" ht="12.75">
      <c r="R380" s="282"/>
      <c r="T380" s="283"/>
    </row>
    <row r="381" spans="18:20" ht="12.75">
      <c r="R381" s="282"/>
      <c r="T381" s="283"/>
    </row>
    <row r="382" spans="18:20" ht="12.75">
      <c r="R382" s="282"/>
      <c r="T382" s="283"/>
    </row>
    <row r="383" spans="18:20" ht="12.75">
      <c r="R383" s="282"/>
      <c r="T383" s="283"/>
    </row>
    <row r="384" spans="18:20" ht="12.75">
      <c r="R384" s="282"/>
      <c r="T384" s="283"/>
    </row>
    <row r="385" spans="18:20" ht="12.75">
      <c r="R385" s="282"/>
      <c r="T385" s="283"/>
    </row>
    <row r="386" spans="18:20" ht="12.75">
      <c r="R386" s="282"/>
      <c r="T386" s="283"/>
    </row>
    <row r="387" spans="18:20" ht="12.75">
      <c r="R387" s="282"/>
      <c r="T387" s="283"/>
    </row>
    <row r="388" spans="18:20" ht="12.75">
      <c r="R388" s="282"/>
      <c r="T388" s="283"/>
    </row>
    <row r="389" spans="18:20" ht="12.75">
      <c r="R389" s="282"/>
      <c r="T389" s="283"/>
    </row>
    <row r="390" spans="18:20" ht="12.75">
      <c r="R390" s="282"/>
      <c r="T390" s="283"/>
    </row>
    <row r="391" spans="18:20" ht="12.75">
      <c r="R391" s="282"/>
      <c r="T391" s="283"/>
    </row>
    <row r="392" spans="18:20" ht="12.75">
      <c r="R392" s="282"/>
      <c r="T392" s="283"/>
    </row>
    <row r="393" spans="18:20" ht="12.75">
      <c r="R393" s="282"/>
      <c r="T393" s="283"/>
    </row>
    <row r="394" spans="18:20" ht="12.75">
      <c r="R394" s="282"/>
      <c r="T394" s="283"/>
    </row>
    <row r="395" spans="18:20" ht="12.75">
      <c r="R395" s="282"/>
      <c r="T395" s="283"/>
    </row>
    <row r="396" spans="18:20" ht="12.75">
      <c r="R396" s="282"/>
      <c r="T396" s="283"/>
    </row>
    <row r="397" spans="18:20" ht="12.75">
      <c r="R397" s="282"/>
      <c r="T397" s="283"/>
    </row>
    <row r="398" spans="18:20" ht="12.75">
      <c r="R398" s="282"/>
      <c r="T398" s="283"/>
    </row>
    <row r="399" spans="18:20" ht="12.75">
      <c r="R399" s="282"/>
      <c r="T399" s="283"/>
    </row>
    <row r="400" spans="18:20" ht="12.75">
      <c r="R400" s="282"/>
      <c r="T400" s="283"/>
    </row>
    <row r="401" spans="18:20" ht="12.75">
      <c r="R401" s="282"/>
      <c r="T401" s="283"/>
    </row>
    <row r="402" spans="18:20" ht="12.75">
      <c r="R402" s="282"/>
      <c r="T402" s="283"/>
    </row>
    <row r="403" spans="18:20" ht="12.75">
      <c r="R403" s="282"/>
      <c r="T403" s="283"/>
    </row>
    <row r="404" spans="18:20" ht="12.75">
      <c r="R404" s="282"/>
      <c r="T404" s="283"/>
    </row>
    <row r="405" spans="18:20" ht="12.75">
      <c r="R405" s="282"/>
      <c r="T405" s="283"/>
    </row>
    <row r="406" spans="18:20" ht="12.75">
      <c r="R406" s="282"/>
      <c r="T406" s="283"/>
    </row>
    <row r="407" spans="18:20" ht="12.75">
      <c r="R407" s="282"/>
      <c r="T407" s="283"/>
    </row>
    <row r="408" spans="18:20" ht="12.75">
      <c r="R408" s="282"/>
      <c r="T408" s="283"/>
    </row>
    <row r="409" spans="18:20" ht="12.75">
      <c r="R409" s="282"/>
      <c r="T409" s="283"/>
    </row>
    <row r="410" spans="18:20" ht="12.75">
      <c r="R410" s="282"/>
      <c r="T410" s="283"/>
    </row>
    <row r="411" spans="18:20" ht="12.75">
      <c r="R411" s="282"/>
      <c r="T411" s="283"/>
    </row>
    <row r="412" spans="18:20" ht="12.75">
      <c r="R412" s="282"/>
      <c r="T412" s="283"/>
    </row>
    <row r="413" spans="18:20" ht="12.75">
      <c r="R413" s="282"/>
      <c r="T413" s="283"/>
    </row>
    <row r="414" spans="18:20" ht="12.75">
      <c r="R414" s="282"/>
      <c r="T414" s="283"/>
    </row>
    <row r="415" spans="18:20" ht="12.75">
      <c r="R415" s="282"/>
      <c r="T415" s="283"/>
    </row>
    <row r="416" spans="18:20" ht="12.75">
      <c r="R416" s="282"/>
      <c r="T416" s="283"/>
    </row>
    <row r="417" spans="18:20" ht="12.75">
      <c r="R417" s="282"/>
      <c r="T417" s="283"/>
    </row>
    <row r="418" spans="18:20" ht="12.75">
      <c r="R418" s="282"/>
      <c r="T418" s="283"/>
    </row>
    <row r="419" spans="18:20" ht="12.75">
      <c r="R419" s="282"/>
      <c r="T419" s="283"/>
    </row>
    <row r="420" spans="18:20" ht="12.75">
      <c r="R420" s="282"/>
      <c r="T420" s="283"/>
    </row>
    <row r="421" spans="18:20" ht="12.75">
      <c r="R421" s="282"/>
      <c r="T421" s="283"/>
    </row>
    <row r="422" spans="18:20" ht="12.75">
      <c r="R422" s="282"/>
      <c r="T422" s="283"/>
    </row>
    <row r="423" spans="18:20" ht="12.75">
      <c r="R423" s="282"/>
      <c r="T423" s="283"/>
    </row>
    <row r="424" spans="18:20" ht="12.75">
      <c r="R424" s="282"/>
      <c r="T424" s="283"/>
    </row>
    <row r="425" spans="18:20" ht="12.75">
      <c r="R425" s="282"/>
      <c r="T425" s="283"/>
    </row>
    <row r="426" spans="18:20" ht="12.75">
      <c r="R426" s="282"/>
      <c r="T426" s="283"/>
    </row>
    <row r="427" spans="18:20" ht="12.75">
      <c r="R427" s="282"/>
      <c r="T427" s="283"/>
    </row>
    <row r="428" spans="18:20" ht="12.75">
      <c r="R428" s="282"/>
      <c r="T428" s="283"/>
    </row>
    <row r="429" spans="18:20" ht="12.75">
      <c r="R429" s="282"/>
      <c r="T429" s="283"/>
    </row>
    <row r="430" spans="18:20" ht="12.75">
      <c r="R430" s="282"/>
      <c r="T430" s="283"/>
    </row>
    <row r="431" spans="18:20" ht="12.75">
      <c r="R431" s="282"/>
      <c r="T431" s="283"/>
    </row>
    <row r="432" spans="18:20" ht="12.75">
      <c r="R432" s="282"/>
      <c r="T432" s="283"/>
    </row>
    <row r="433" spans="18:20" ht="12.75">
      <c r="R433" s="282"/>
      <c r="T433" s="283"/>
    </row>
    <row r="434" spans="18:20" ht="12.75">
      <c r="R434" s="282"/>
      <c r="T434" s="283"/>
    </row>
    <row r="435" spans="18:20" ht="12.75">
      <c r="R435" s="282"/>
      <c r="T435" s="283"/>
    </row>
    <row r="436" spans="18:20" ht="12.75">
      <c r="R436" s="282"/>
      <c r="T436" s="283"/>
    </row>
    <row r="437" spans="18:20" ht="12.75">
      <c r="R437" s="282"/>
      <c r="T437" s="283"/>
    </row>
    <row r="438" spans="18:20" ht="12.75">
      <c r="R438" s="282"/>
      <c r="T438" s="283"/>
    </row>
    <row r="439" spans="18:20" ht="12.75">
      <c r="R439" s="282"/>
      <c r="T439" s="283"/>
    </row>
    <row r="440" spans="18:20" ht="12.75">
      <c r="R440" s="282"/>
      <c r="T440" s="283"/>
    </row>
    <row r="441" spans="18:20" ht="12.75">
      <c r="R441" s="282"/>
      <c r="T441" s="283"/>
    </row>
    <row r="442" spans="18:20" ht="12.75">
      <c r="R442" s="282"/>
      <c r="T442" s="283"/>
    </row>
    <row r="443" spans="18:20" ht="12.75">
      <c r="R443" s="282"/>
      <c r="T443" s="283"/>
    </row>
    <row r="444" spans="18:20" ht="12.75">
      <c r="R444" s="282"/>
      <c r="T444" s="283"/>
    </row>
    <row r="445" spans="18:20" ht="12.75">
      <c r="R445" s="282"/>
      <c r="T445" s="283"/>
    </row>
    <row r="446" spans="18:20" ht="12.75">
      <c r="R446" s="282"/>
      <c r="T446" s="283"/>
    </row>
    <row r="447" spans="18:20" ht="12.75">
      <c r="R447" s="282"/>
      <c r="T447" s="283"/>
    </row>
    <row r="448" spans="18:20" ht="12.75">
      <c r="R448" s="282"/>
      <c r="T448" s="283"/>
    </row>
    <row r="449" spans="18:20" ht="12.75">
      <c r="R449" s="282"/>
      <c r="T449" s="283"/>
    </row>
    <row r="450" spans="18:20" ht="12.75">
      <c r="R450" s="282"/>
      <c r="T450" s="283"/>
    </row>
    <row r="451" spans="18:20" ht="12.75">
      <c r="R451" s="282"/>
      <c r="T451" s="283"/>
    </row>
    <row r="452" spans="18:20" ht="12.75">
      <c r="R452" s="282"/>
      <c r="T452" s="283"/>
    </row>
    <row r="453" spans="18:20" ht="12.75">
      <c r="R453" s="282"/>
      <c r="T453" s="283"/>
    </row>
    <row r="454" spans="18:20" ht="12.75">
      <c r="R454" s="282"/>
      <c r="T454" s="283"/>
    </row>
    <row r="455" spans="18:20" ht="12.75">
      <c r="R455" s="282"/>
      <c r="T455" s="283"/>
    </row>
    <row r="456" spans="18:20" ht="12.75">
      <c r="R456" s="282"/>
      <c r="T456" s="283"/>
    </row>
    <row r="457" spans="18:20" ht="12.75">
      <c r="R457" s="282"/>
      <c r="T457" s="283"/>
    </row>
    <row r="458" spans="18:20" ht="12.75">
      <c r="R458" s="282"/>
      <c r="T458" s="283"/>
    </row>
    <row r="459" spans="18:20" ht="12.75">
      <c r="R459" s="282"/>
      <c r="T459" s="283"/>
    </row>
    <row r="460" spans="18:20" ht="12.75">
      <c r="R460" s="282"/>
      <c r="T460" s="283"/>
    </row>
    <row r="461" spans="18:20" ht="12.75">
      <c r="R461" s="282"/>
      <c r="T461" s="283"/>
    </row>
    <row r="462" spans="18:20" ht="12.75">
      <c r="R462" s="282"/>
      <c r="T462" s="283"/>
    </row>
    <row r="463" spans="18:20" ht="12.75">
      <c r="R463" s="282"/>
      <c r="T463" s="283"/>
    </row>
    <row r="464" spans="18:20" ht="12.75">
      <c r="R464" s="282"/>
      <c r="T464" s="283"/>
    </row>
    <row r="465" spans="18:20" ht="12.75">
      <c r="R465" s="282"/>
      <c r="T465" s="283"/>
    </row>
    <row r="466" spans="18:20" ht="12.75">
      <c r="R466" s="282"/>
      <c r="T466" s="283"/>
    </row>
    <row r="467" spans="18:20" ht="12.75">
      <c r="R467" s="282"/>
      <c r="T467" s="283"/>
    </row>
    <row r="468" spans="18:20" ht="12.75">
      <c r="R468" s="282"/>
      <c r="T468" s="283"/>
    </row>
    <row r="469" spans="18:20" ht="12.75">
      <c r="R469" s="282"/>
      <c r="T469" s="283"/>
    </row>
    <row r="470" spans="18:20" ht="12.75">
      <c r="R470" s="282"/>
      <c r="T470" s="283"/>
    </row>
    <row r="471" spans="18:20" ht="12.75">
      <c r="R471" s="282"/>
      <c r="T471" s="283"/>
    </row>
    <row r="472" spans="18:20" ht="12.75">
      <c r="R472" s="282"/>
      <c r="T472" s="283"/>
    </row>
    <row r="473" spans="18:20" ht="12.75">
      <c r="R473" s="282"/>
      <c r="T473" s="283"/>
    </row>
    <row r="474" spans="18:20" ht="12.75">
      <c r="R474" s="282"/>
      <c r="T474" s="283"/>
    </row>
    <row r="475" spans="18:20" ht="12.75">
      <c r="R475" s="282"/>
      <c r="T475" s="283"/>
    </row>
    <row r="476" spans="18:20" ht="12.75">
      <c r="R476" s="282"/>
      <c r="T476" s="283"/>
    </row>
    <row r="477" spans="18:20" ht="12.75">
      <c r="R477" s="282"/>
      <c r="T477" s="283"/>
    </row>
    <row r="478" spans="18:20" ht="12.75">
      <c r="R478" s="282"/>
      <c r="T478" s="283"/>
    </row>
    <row r="479" spans="18:20" ht="12.75">
      <c r="R479" s="282"/>
      <c r="T479" s="283"/>
    </row>
    <row r="480" spans="18:20" ht="12.75">
      <c r="R480" s="282"/>
      <c r="T480" s="283"/>
    </row>
    <row r="481" spans="18:20" ht="12.75">
      <c r="R481" s="282"/>
      <c r="T481" s="283"/>
    </row>
    <row r="482" spans="18:20" ht="12.75">
      <c r="R482" s="282"/>
      <c r="T482" s="283"/>
    </row>
    <row r="483" spans="18:20" ht="12.75">
      <c r="R483" s="282"/>
      <c r="T483" s="283"/>
    </row>
    <row r="484" spans="18:20" ht="12.75">
      <c r="R484" s="282"/>
      <c r="T484" s="283"/>
    </row>
    <row r="485" spans="18:20" ht="12.75">
      <c r="R485" s="282"/>
      <c r="T485" s="283"/>
    </row>
    <row r="486" spans="18:20" ht="12.75">
      <c r="R486" s="282"/>
      <c r="T486" s="283"/>
    </row>
    <row r="487" spans="18:20" ht="12.75">
      <c r="R487" s="282"/>
      <c r="T487" s="283"/>
    </row>
    <row r="488" spans="18:20" ht="12.75">
      <c r="R488" s="282"/>
      <c r="T488" s="283"/>
    </row>
    <row r="489" spans="18:20" ht="12.75">
      <c r="R489" s="282"/>
      <c r="T489" s="283"/>
    </row>
    <row r="490" spans="18:20" ht="12.75">
      <c r="R490" s="282"/>
      <c r="T490" s="283"/>
    </row>
    <row r="491" spans="18:20" ht="12.75">
      <c r="R491" s="282"/>
      <c r="T491" s="283"/>
    </row>
    <row r="492" spans="18:20" ht="12.75">
      <c r="R492" s="282"/>
      <c r="T492" s="283"/>
    </row>
    <row r="493" spans="18:20" ht="12.75">
      <c r="R493" s="282"/>
      <c r="T493" s="283"/>
    </row>
    <row r="494" spans="18:20" ht="12.75">
      <c r="R494" s="282"/>
      <c r="T494" s="283"/>
    </row>
    <row r="495" spans="18:20" ht="12.75">
      <c r="R495" s="282"/>
      <c r="T495" s="283"/>
    </row>
    <row r="496" spans="18:20" ht="12.75">
      <c r="R496" s="282"/>
      <c r="T496" s="283"/>
    </row>
    <row r="497" spans="18:20" ht="12.75">
      <c r="R497" s="282"/>
      <c r="T497" s="283"/>
    </row>
    <row r="498" spans="18:20" ht="12.75">
      <c r="R498" s="282"/>
      <c r="T498" s="283"/>
    </row>
    <row r="499" spans="18:20" ht="12.75">
      <c r="R499" s="282"/>
      <c r="T499" s="283"/>
    </row>
    <row r="500" spans="1:26" ht="12.75">
      <c r="A500" s="289" t="s">
        <v>134</v>
      </c>
      <c r="B500" s="289" t="s">
        <v>134</v>
      </c>
      <c r="C500" s="289" t="s">
        <v>134</v>
      </c>
      <c r="D500" s="290" t="s">
        <v>134</v>
      </c>
      <c r="E500" s="289" t="s">
        <v>134</v>
      </c>
      <c r="F500" s="289" t="s">
        <v>134</v>
      </c>
      <c r="G500" s="289" t="s">
        <v>134</v>
      </c>
      <c r="H500" s="289" t="s">
        <v>134</v>
      </c>
      <c r="I500" s="289" t="s">
        <v>134</v>
      </c>
      <c r="J500" s="289" t="s">
        <v>134</v>
      </c>
      <c r="K500" s="289" t="s">
        <v>134</v>
      </c>
      <c r="L500" s="289" t="s">
        <v>134</v>
      </c>
      <c r="M500" s="289" t="s">
        <v>134</v>
      </c>
      <c r="N500" s="289" t="s">
        <v>134</v>
      </c>
      <c r="O500" s="289" t="s">
        <v>134</v>
      </c>
      <c r="P500" s="291" t="s">
        <v>134</v>
      </c>
      <c r="Q500" s="290" t="s">
        <v>134</v>
      </c>
      <c r="R500" s="292" t="s">
        <v>134</v>
      </c>
      <c r="S500" s="289" t="s">
        <v>134</v>
      </c>
      <c r="T500" s="293" t="s">
        <v>134</v>
      </c>
      <c r="U500" s="289" t="s">
        <v>134</v>
      </c>
      <c r="V500" s="289" t="s">
        <v>134</v>
      </c>
      <c r="W500" s="289" t="s">
        <v>134</v>
      </c>
      <c r="X500" s="289" t="s">
        <v>134</v>
      </c>
      <c r="Y500" s="289" t="s">
        <v>134</v>
      </c>
      <c r="Z500" s="289" t="s">
        <v>134</v>
      </c>
    </row>
  </sheetData>
  <conditionalFormatting sqref="Q2:Q50">
    <cfRule type="cellIs" priority="1" dxfId="3" operator="equal" stopIfTrue="1">
      <formula>0</formula>
    </cfRule>
  </conditionalFormatting>
  <conditionalFormatting sqref="A1:A500">
    <cfRule type="expression" priority="2" dxfId="1" stopIfTrue="1">
      <formula>COUNTIF($A$1:$A$500,A1)&gt;1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AI182"/>
  <sheetViews>
    <sheetView zoomScale="80" zoomScaleNormal="80" workbookViewId="0" topLeftCell="A136">
      <selection activeCell="E4" sqref="E4:M4"/>
    </sheetView>
  </sheetViews>
  <sheetFormatPr defaultColWidth="11.421875" defaultRowHeight="12.75"/>
  <cols>
    <col min="1" max="1" width="11.421875" style="219" customWidth="1"/>
    <col min="2" max="2" width="35.7109375" style="0" customWidth="1"/>
    <col min="3" max="3" width="42.28125" style="0" customWidth="1"/>
    <col min="4" max="4" width="34.421875" style="0" customWidth="1"/>
    <col min="5" max="5" width="45.00390625" style="0" customWidth="1"/>
  </cols>
  <sheetData>
    <row r="1" spans="1:11" s="219" customFormat="1" ht="15" customHeight="1">
      <c r="A1" s="555"/>
      <c r="B1" s="535" t="s">
        <v>802</v>
      </c>
      <c r="C1" s="535" t="s">
        <v>208</v>
      </c>
      <c r="D1" s="535" t="s">
        <v>209</v>
      </c>
      <c r="E1" s="535" t="s">
        <v>210</v>
      </c>
      <c r="F1" s="535"/>
      <c r="G1" s="535"/>
      <c r="H1" s="535"/>
      <c r="I1" s="535"/>
      <c r="J1" s="535"/>
      <c r="K1" s="535"/>
    </row>
    <row r="2" spans="1:12" ht="15" customHeight="1">
      <c r="A2" s="555" t="s">
        <v>211</v>
      </c>
      <c r="B2" s="538" t="s">
        <v>697</v>
      </c>
      <c r="C2" s="538" t="s">
        <v>351</v>
      </c>
      <c r="D2" s="538" t="s">
        <v>469</v>
      </c>
      <c r="E2" s="538" t="s">
        <v>212</v>
      </c>
      <c r="F2" s="538"/>
      <c r="G2" s="538"/>
      <c r="H2" s="538"/>
      <c r="I2" s="538"/>
      <c r="J2" s="538"/>
      <c r="K2" s="538"/>
      <c r="L2" s="539"/>
    </row>
    <row r="3" spans="1:11" ht="15" customHeight="1">
      <c r="A3" s="555"/>
      <c r="B3" s="40" t="s">
        <v>698</v>
      </c>
      <c r="C3" s="40" t="s">
        <v>352</v>
      </c>
      <c r="D3" s="538" t="s">
        <v>470</v>
      </c>
      <c r="E3" s="40" t="s">
        <v>470</v>
      </c>
      <c r="F3" s="40"/>
      <c r="G3" s="40"/>
      <c r="H3" s="40"/>
      <c r="I3" s="40"/>
      <c r="J3" s="40"/>
      <c r="K3" s="40"/>
    </row>
    <row r="4" spans="1:11" ht="15" customHeight="1">
      <c r="A4" s="555"/>
      <c r="B4" s="540" t="s">
        <v>699</v>
      </c>
      <c r="C4" s="40" t="s">
        <v>353</v>
      </c>
      <c r="D4" s="538" t="s">
        <v>471</v>
      </c>
      <c r="E4" s="40" t="s">
        <v>213</v>
      </c>
      <c r="F4" s="40"/>
      <c r="G4" s="40"/>
      <c r="H4" s="40"/>
      <c r="I4" s="40"/>
      <c r="J4" s="40"/>
      <c r="K4" s="40"/>
    </row>
    <row r="5" spans="1:11" ht="15" customHeight="1">
      <c r="A5" s="555"/>
      <c r="B5" s="540" t="s">
        <v>703</v>
      </c>
      <c r="C5" s="40" t="s">
        <v>354</v>
      </c>
      <c r="D5" s="538" t="s">
        <v>472</v>
      </c>
      <c r="E5" s="40" t="s">
        <v>214</v>
      </c>
      <c r="F5" s="40"/>
      <c r="G5" s="40"/>
      <c r="H5" s="40"/>
      <c r="I5" s="40"/>
      <c r="J5" s="40"/>
      <c r="K5" s="40"/>
    </row>
    <row r="6" spans="1:11" ht="15" customHeight="1">
      <c r="A6" s="555"/>
      <c r="B6" s="540" t="s">
        <v>704</v>
      </c>
      <c r="C6" s="40" t="s">
        <v>704</v>
      </c>
      <c r="D6" s="538" t="s">
        <v>704</v>
      </c>
      <c r="E6" s="40" t="s">
        <v>215</v>
      </c>
      <c r="F6" s="40"/>
      <c r="G6" s="40"/>
      <c r="H6" s="40"/>
      <c r="I6" s="40"/>
      <c r="J6" s="40"/>
      <c r="K6" s="40"/>
    </row>
    <row r="7" spans="1:11" ht="15" customHeight="1">
      <c r="A7" s="555"/>
      <c r="B7" s="540" t="s">
        <v>705</v>
      </c>
      <c r="C7" s="540" t="s">
        <v>355</v>
      </c>
      <c r="D7" s="538" t="s">
        <v>473</v>
      </c>
      <c r="E7" s="554" t="s">
        <v>216</v>
      </c>
      <c r="F7" s="554"/>
      <c r="G7" s="554"/>
      <c r="H7" s="40"/>
      <c r="I7" s="40"/>
      <c r="J7" s="40"/>
      <c r="K7" s="40"/>
    </row>
    <row r="8" spans="1:11" ht="15" customHeight="1">
      <c r="A8" s="555"/>
      <c r="B8" s="540" t="s">
        <v>700</v>
      </c>
      <c r="C8" s="40" t="s">
        <v>356</v>
      </c>
      <c r="D8" s="538" t="s">
        <v>474</v>
      </c>
      <c r="E8" s="40" t="s">
        <v>217</v>
      </c>
      <c r="F8" s="40"/>
      <c r="G8" s="40"/>
      <c r="H8" s="40"/>
      <c r="I8" s="40"/>
      <c r="J8" s="40"/>
      <c r="K8" s="40"/>
    </row>
    <row r="9" spans="1:11" ht="15" customHeight="1">
      <c r="A9" s="555"/>
      <c r="B9" s="540" t="s">
        <v>706</v>
      </c>
      <c r="C9" s="540" t="s">
        <v>357</v>
      </c>
      <c r="D9" s="538" t="s">
        <v>475</v>
      </c>
      <c r="E9" s="540" t="s">
        <v>218</v>
      </c>
      <c r="F9" s="40"/>
      <c r="G9" s="40"/>
      <c r="H9" s="40"/>
      <c r="I9" s="40"/>
      <c r="J9" s="40"/>
      <c r="K9" s="40"/>
    </row>
    <row r="10" spans="1:11" ht="15" customHeight="1">
      <c r="A10" s="555"/>
      <c r="B10" s="540" t="s">
        <v>701</v>
      </c>
      <c r="C10" s="40" t="s">
        <v>358</v>
      </c>
      <c r="D10" s="538" t="s">
        <v>476</v>
      </c>
      <c r="E10" s="40" t="s">
        <v>219</v>
      </c>
      <c r="F10" s="40"/>
      <c r="G10" s="40"/>
      <c r="H10" s="40"/>
      <c r="I10" s="40"/>
      <c r="J10" s="40"/>
      <c r="K10" s="40"/>
    </row>
    <row r="11" spans="1:11" ht="15" customHeight="1">
      <c r="A11" s="555"/>
      <c r="B11" s="540" t="s">
        <v>708</v>
      </c>
      <c r="C11" s="40" t="s">
        <v>220</v>
      </c>
      <c r="D11" s="538" t="s">
        <v>220</v>
      </c>
      <c r="E11" s="40" t="s">
        <v>220</v>
      </c>
      <c r="F11" s="40"/>
      <c r="G11" s="40"/>
      <c r="H11" s="40"/>
      <c r="I11" s="40"/>
      <c r="J11" s="40"/>
      <c r="K11" s="40"/>
    </row>
    <row r="12" spans="1:11" ht="15" customHeight="1">
      <c r="A12" s="555"/>
      <c r="B12" s="540" t="s">
        <v>707</v>
      </c>
      <c r="C12" s="540" t="s">
        <v>359</v>
      </c>
      <c r="D12" s="540" t="s">
        <v>478</v>
      </c>
      <c r="E12" s="540" t="s">
        <v>221</v>
      </c>
      <c r="F12" s="540"/>
      <c r="G12" s="40"/>
      <c r="H12" s="40"/>
      <c r="I12" s="40"/>
      <c r="J12" s="40"/>
      <c r="K12" s="40"/>
    </row>
    <row r="13" spans="1:11" ht="15" customHeight="1">
      <c r="A13" s="555"/>
      <c r="B13" s="540" t="s">
        <v>702</v>
      </c>
      <c r="C13" s="40" t="s">
        <v>360</v>
      </c>
      <c r="D13" s="40" t="s">
        <v>479</v>
      </c>
      <c r="E13" s="40" t="s">
        <v>222</v>
      </c>
      <c r="F13" s="40"/>
      <c r="G13" s="40"/>
      <c r="H13" s="40"/>
      <c r="I13" s="40"/>
      <c r="J13" s="40"/>
      <c r="K13" s="40"/>
    </row>
    <row r="14" spans="1:11" ht="15" customHeight="1">
      <c r="A14" s="555"/>
      <c r="B14" s="540" t="s">
        <v>709</v>
      </c>
      <c r="C14" s="40" t="s">
        <v>361</v>
      </c>
      <c r="D14" s="40" t="s">
        <v>480</v>
      </c>
      <c r="E14" s="40" t="s">
        <v>223</v>
      </c>
      <c r="F14" s="40"/>
      <c r="G14" s="40"/>
      <c r="H14" s="40"/>
      <c r="I14" s="40"/>
      <c r="J14" s="40"/>
      <c r="K14" s="40"/>
    </row>
    <row r="15" spans="1:11" ht="15" customHeight="1">
      <c r="A15" s="555"/>
      <c r="B15" s="468" t="s">
        <v>714</v>
      </c>
      <c r="C15" s="40" t="s">
        <v>362</v>
      </c>
      <c r="D15" s="40" t="s">
        <v>481</v>
      </c>
      <c r="E15" s="40" t="s">
        <v>224</v>
      </c>
      <c r="F15" s="40"/>
      <c r="G15" s="40"/>
      <c r="H15" s="40"/>
      <c r="I15" s="40"/>
      <c r="J15" s="40"/>
      <c r="K15" s="40"/>
    </row>
    <row r="16" spans="1:11" ht="15" customHeight="1">
      <c r="A16" s="555"/>
      <c r="B16" s="540" t="s">
        <v>710</v>
      </c>
      <c r="C16" s="40" t="s">
        <v>477</v>
      </c>
      <c r="D16" s="40" t="s">
        <v>482</v>
      </c>
      <c r="E16" s="40" t="s">
        <v>225</v>
      </c>
      <c r="F16" s="40"/>
      <c r="G16" s="40"/>
      <c r="H16" s="40"/>
      <c r="I16" s="40"/>
      <c r="J16" s="40"/>
      <c r="K16" s="40"/>
    </row>
    <row r="17" spans="1:11" ht="15" customHeight="1">
      <c r="A17" s="555"/>
      <c r="B17" s="468" t="s">
        <v>712</v>
      </c>
      <c r="C17" s="468" t="s">
        <v>363</v>
      </c>
      <c r="D17" s="468" t="s">
        <v>483</v>
      </c>
      <c r="E17" s="468" t="s">
        <v>226</v>
      </c>
      <c r="F17" s="40"/>
      <c r="G17" s="40"/>
      <c r="H17" s="40"/>
      <c r="I17" s="40"/>
      <c r="J17" s="40"/>
      <c r="K17" s="40"/>
    </row>
    <row r="18" spans="1:11" ht="15" customHeight="1">
      <c r="A18" s="555"/>
      <c r="B18" s="468" t="s">
        <v>715</v>
      </c>
      <c r="C18" s="40" t="s">
        <v>364</v>
      </c>
      <c r="D18" s="538" t="s">
        <v>484</v>
      </c>
      <c r="E18" s="40" t="s">
        <v>227</v>
      </c>
      <c r="F18" s="40"/>
      <c r="G18" s="40"/>
      <c r="H18" s="40"/>
      <c r="I18" s="40"/>
      <c r="J18" s="40"/>
      <c r="K18" s="40"/>
    </row>
    <row r="19" spans="1:11" ht="15" customHeight="1">
      <c r="A19" s="555"/>
      <c r="B19" s="540" t="s">
        <v>717</v>
      </c>
      <c r="C19" s="40" t="s">
        <v>365</v>
      </c>
      <c r="D19" s="40" t="s">
        <v>485</v>
      </c>
      <c r="E19" s="40" t="s">
        <v>228</v>
      </c>
      <c r="F19" s="40"/>
      <c r="G19" s="40"/>
      <c r="H19" s="40"/>
      <c r="I19" s="40"/>
      <c r="J19" s="40"/>
      <c r="K19" s="40"/>
    </row>
    <row r="20" spans="1:11" ht="15" customHeight="1">
      <c r="A20" s="555"/>
      <c r="B20" s="540" t="s">
        <v>711</v>
      </c>
      <c r="C20" s="40" t="s">
        <v>366</v>
      </c>
      <c r="D20" s="40" t="s">
        <v>486</v>
      </c>
      <c r="E20" s="40" t="s">
        <v>229</v>
      </c>
      <c r="F20" s="40"/>
      <c r="G20" s="40"/>
      <c r="H20" s="40"/>
      <c r="I20" s="40"/>
      <c r="J20" s="40"/>
      <c r="K20" s="40"/>
    </row>
    <row r="21" spans="1:11" ht="15" customHeight="1">
      <c r="A21" s="555"/>
      <c r="B21" s="468" t="s">
        <v>716</v>
      </c>
      <c r="C21" s="40" t="s">
        <v>367</v>
      </c>
      <c r="D21" s="40" t="s">
        <v>487</v>
      </c>
      <c r="E21" s="40" t="s">
        <v>230</v>
      </c>
      <c r="F21" s="40"/>
      <c r="G21" s="40"/>
      <c r="H21" s="40"/>
      <c r="I21" s="40"/>
      <c r="J21" s="40"/>
      <c r="K21" s="40"/>
    </row>
    <row r="22" spans="1:11" ht="15" customHeight="1">
      <c r="A22" s="555"/>
      <c r="B22" s="540" t="s">
        <v>713</v>
      </c>
      <c r="C22" s="40" t="s">
        <v>368</v>
      </c>
      <c r="D22" s="40" t="s">
        <v>488</v>
      </c>
      <c r="E22" s="40" t="s">
        <v>231</v>
      </c>
      <c r="F22" s="40"/>
      <c r="G22" s="40"/>
      <c r="H22" s="40"/>
      <c r="I22" s="40"/>
      <c r="J22" s="40"/>
      <c r="K22" s="40"/>
    </row>
    <row r="23" spans="1:11" ht="15" customHeight="1">
      <c r="A23" s="555">
        <v>1</v>
      </c>
      <c r="B23" s="40" t="s">
        <v>722</v>
      </c>
      <c r="C23" s="40" t="s">
        <v>369</v>
      </c>
      <c r="D23" s="40" t="s">
        <v>489</v>
      </c>
      <c r="E23" s="40" t="s">
        <v>232</v>
      </c>
      <c r="F23" s="40"/>
      <c r="G23" s="40"/>
      <c r="H23" s="40"/>
      <c r="I23" s="40"/>
      <c r="J23" s="40"/>
      <c r="K23" s="40"/>
    </row>
    <row r="24" spans="1:11" ht="15" customHeight="1">
      <c r="A24" s="555"/>
      <c r="B24" s="468" t="s">
        <v>691</v>
      </c>
      <c r="C24" s="468" t="s">
        <v>691</v>
      </c>
      <c r="D24" s="468" t="s">
        <v>691</v>
      </c>
      <c r="E24" s="468" t="s">
        <v>691</v>
      </c>
      <c r="F24" s="40"/>
      <c r="G24" s="40"/>
      <c r="H24" s="40"/>
      <c r="I24" s="40"/>
      <c r="J24" s="40"/>
      <c r="K24" s="40"/>
    </row>
    <row r="25" spans="1:11" ht="15" customHeight="1">
      <c r="A25" s="555"/>
      <c r="B25" s="468" t="s">
        <v>718</v>
      </c>
      <c r="C25" s="538" t="s">
        <v>370</v>
      </c>
      <c r="D25" s="538" t="s">
        <v>490</v>
      </c>
      <c r="E25" s="538" t="s">
        <v>233</v>
      </c>
      <c r="F25" s="538"/>
      <c r="G25" s="538"/>
      <c r="H25" s="538"/>
      <c r="I25" s="538"/>
      <c r="J25" s="538"/>
      <c r="K25" s="538"/>
    </row>
    <row r="26" spans="1:11" ht="15" customHeight="1">
      <c r="A26" s="555"/>
      <c r="B26" s="468" t="s">
        <v>719</v>
      </c>
      <c r="C26" s="538" t="s">
        <v>371</v>
      </c>
      <c r="D26" s="538" t="s">
        <v>491</v>
      </c>
      <c r="E26" s="538" t="s">
        <v>234</v>
      </c>
      <c r="F26" s="538"/>
      <c r="G26" s="538"/>
      <c r="H26" s="538"/>
      <c r="I26" s="538"/>
      <c r="J26" s="538"/>
      <c r="K26" s="538"/>
    </row>
    <row r="27" spans="1:11" ht="15" customHeight="1">
      <c r="A27" s="555"/>
      <c r="B27" s="468" t="s">
        <v>720</v>
      </c>
      <c r="C27" s="468" t="s">
        <v>372</v>
      </c>
      <c r="D27" s="40" t="s">
        <v>492</v>
      </c>
      <c r="E27" s="40" t="s">
        <v>235</v>
      </c>
      <c r="F27" s="40"/>
      <c r="G27" s="40"/>
      <c r="H27" s="40"/>
      <c r="I27" s="40"/>
      <c r="J27" s="40"/>
      <c r="K27" s="40"/>
    </row>
    <row r="28" spans="1:11" ht="15" customHeight="1">
      <c r="A28" s="555"/>
      <c r="B28" s="468" t="s">
        <v>720</v>
      </c>
      <c r="C28" s="468" t="s">
        <v>372</v>
      </c>
      <c r="D28" s="40" t="s">
        <v>492</v>
      </c>
      <c r="E28" s="40" t="s">
        <v>235</v>
      </c>
      <c r="F28" s="40"/>
      <c r="G28" s="40"/>
      <c r="H28" s="40"/>
      <c r="I28" s="40"/>
      <c r="J28" s="40"/>
      <c r="K28" s="40"/>
    </row>
    <row r="29" spans="1:11" ht="15" customHeight="1">
      <c r="A29" s="555"/>
      <c r="B29" s="468" t="s">
        <v>721</v>
      </c>
      <c r="C29" s="468" t="s">
        <v>373</v>
      </c>
      <c r="D29" s="468" t="s">
        <v>593</v>
      </c>
      <c r="E29" s="468" t="s">
        <v>594</v>
      </c>
      <c r="F29" s="468"/>
      <c r="G29" s="468"/>
      <c r="H29" s="468"/>
      <c r="I29" s="40"/>
      <c r="J29" s="40"/>
      <c r="K29" s="40"/>
    </row>
    <row r="30" spans="1:11" ht="15" customHeight="1">
      <c r="A30" s="555">
        <v>2</v>
      </c>
      <c r="B30" s="468" t="s">
        <v>723</v>
      </c>
      <c r="C30" s="468" t="s">
        <v>374</v>
      </c>
      <c r="D30" s="468" t="s">
        <v>374</v>
      </c>
      <c r="E30" s="468" t="s">
        <v>236</v>
      </c>
      <c r="F30" s="468"/>
      <c r="G30" s="468"/>
      <c r="H30" s="468"/>
      <c r="I30" s="40"/>
      <c r="J30" s="40"/>
      <c r="K30" s="40"/>
    </row>
    <row r="31" spans="1:11" ht="15" customHeight="1">
      <c r="A31" s="555"/>
      <c r="B31" s="468" t="s">
        <v>764</v>
      </c>
      <c r="C31" s="468" t="s">
        <v>666</v>
      </c>
      <c r="D31" s="468" t="s">
        <v>493</v>
      </c>
      <c r="E31" s="468" t="s">
        <v>237</v>
      </c>
      <c r="F31" s="468"/>
      <c r="G31" s="468"/>
      <c r="H31" s="468"/>
      <c r="I31" s="468"/>
      <c r="J31" s="468"/>
      <c r="K31" s="468"/>
    </row>
    <row r="32" spans="1:17" ht="15" customHeight="1">
      <c r="A32" s="555"/>
      <c r="B32" s="538" t="s">
        <v>757</v>
      </c>
      <c r="C32" s="538" t="s">
        <v>375</v>
      </c>
      <c r="D32" s="538" t="s">
        <v>494</v>
      </c>
      <c r="E32" s="538" t="s">
        <v>238</v>
      </c>
      <c r="F32" s="538"/>
      <c r="G32" s="538"/>
      <c r="H32" s="538"/>
      <c r="I32" s="538"/>
      <c r="J32" s="538"/>
      <c r="K32" s="538"/>
      <c r="L32" s="348"/>
      <c r="M32" s="348"/>
      <c r="N32" s="348"/>
      <c r="O32" s="348"/>
      <c r="P32" s="348"/>
      <c r="Q32" s="348"/>
    </row>
    <row r="33" spans="1:11" ht="15" customHeight="1">
      <c r="A33" s="555"/>
      <c r="B33" s="540" t="s">
        <v>642</v>
      </c>
      <c r="C33" s="540" t="s">
        <v>643</v>
      </c>
      <c r="D33" s="540" t="s">
        <v>644</v>
      </c>
      <c r="E33" s="540" t="s">
        <v>645</v>
      </c>
      <c r="F33" s="540"/>
      <c r="G33" s="540"/>
      <c r="H33" s="540"/>
      <c r="I33" s="540"/>
      <c r="J33" s="40"/>
      <c r="K33" s="40"/>
    </row>
    <row r="34" spans="1:11" ht="15" customHeight="1">
      <c r="A34" s="555"/>
      <c r="B34" s="538" t="s">
        <v>595</v>
      </c>
      <c r="C34" s="538" t="s">
        <v>597</v>
      </c>
      <c r="D34" s="538" t="s">
        <v>596</v>
      </c>
      <c r="E34" s="538" t="s">
        <v>637</v>
      </c>
      <c r="F34" s="538"/>
      <c r="G34" s="538"/>
      <c r="H34" s="538"/>
      <c r="I34" s="538"/>
      <c r="J34" s="538"/>
      <c r="K34" s="40"/>
    </row>
    <row r="35" spans="1:13" ht="15" customHeight="1">
      <c r="A35" s="555"/>
      <c r="B35" s="538" t="s">
        <v>641</v>
      </c>
      <c r="C35" s="538" t="s">
        <v>638</v>
      </c>
      <c r="D35" s="538" t="s">
        <v>639</v>
      </c>
      <c r="E35" s="538" t="s">
        <v>640</v>
      </c>
      <c r="F35" s="538"/>
      <c r="G35" s="538"/>
      <c r="H35" s="538"/>
      <c r="I35" s="538"/>
      <c r="J35" s="538"/>
      <c r="K35" s="40"/>
      <c r="L35" s="534"/>
      <c r="M35" s="534"/>
    </row>
    <row r="36" spans="1:13" ht="15" customHeight="1">
      <c r="A36" s="555"/>
      <c r="B36" s="538" t="s">
        <v>239</v>
      </c>
      <c r="C36" s="538" t="s">
        <v>648</v>
      </c>
      <c r="D36" s="538" t="s">
        <v>495</v>
      </c>
      <c r="E36" s="538" t="s">
        <v>240</v>
      </c>
      <c r="F36" s="538"/>
      <c r="G36" s="538"/>
      <c r="H36" s="538"/>
      <c r="I36" s="538"/>
      <c r="J36" s="538"/>
      <c r="K36" s="538"/>
      <c r="L36" s="531"/>
      <c r="M36" s="531"/>
    </row>
    <row r="37" spans="1:13" ht="15" customHeight="1">
      <c r="A37" s="555"/>
      <c r="B37" s="540" t="s">
        <v>241</v>
      </c>
      <c r="C37" s="540" t="s">
        <v>649</v>
      </c>
      <c r="D37" s="540" t="s">
        <v>496</v>
      </c>
      <c r="E37" s="540" t="s">
        <v>242</v>
      </c>
      <c r="F37" s="540"/>
      <c r="G37" s="540"/>
      <c r="H37" s="540"/>
      <c r="I37" s="540"/>
      <c r="J37" s="540"/>
      <c r="K37" s="540"/>
      <c r="L37" s="533"/>
      <c r="M37" s="533"/>
    </row>
    <row r="38" spans="1:11" ht="15" customHeight="1">
      <c r="A38" s="555"/>
      <c r="B38" s="40" t="s">
        <v>650</v>
      </c>
      <c r="C38" s="40" t="s">
        <v>651</v>
      </c>
      <c r="D38" s="40" t="s">
        <v>652</v>
      </c>
      <c r="E38" s="40" t="s">
        <v>653</v>
      </c>
      <c r="F38" s="40"/>
      <c r="G38" s="40"/>
      <c r="H38" s="40"/>
      <c r="I38" s="40"/>
      <c r="J38" s="40"/>
      <c r="K38" s="40"/>
    </row>
    <row r="39" spans="1:11" ht="15" customHeight="1">
      <c r="A39" s="555"/>
      <c r="B39" s="40" t="s">
        <v>654</v>
      </c>
      <c r="C39" s="40" t="s">
        <v>655</v>
      </c>
      <c r="D39" s="40" t="s">
        <v>656</v>
      </c>
      <c r="E39" s="40" t="s">
        <v>657</v>
      </c>
      <c r="F39" s="40"/>
      <c r="G39" s="40"/>
      <c r="H39" s="40"/>
      <c r="I39" s="40"/>
      <c r="J39" s="40"/>
      <c r="K39" s="40"/>
    </row>
    <row r="40" spans="1:11" ht="15" customHeight="1">
      <c r="A40" s="555"/>
      <c r="B40" s="40" t="s">
        <v>244</v>
      </c>
      <c r="C40" s="40" t="s">
        <v>378</v>
      </c>
      <c r="D40" s="40" t="s">
        <v>498</v>
      </c>
      <c r="E40" s="40" t="s">
        <v>245</v>
      </c>
      <c r="F40" s="40"/>
      <c r="G40" s="40"/>
      <c r="H40" s="40"/>
      <c r="I40" s="40"/>
      <c r="J40" s="40"/>
      <c r="K40" s="40"/>
    </row>
    <row r="41" spans="1:11" ht="15" customHeight="1">
      <c r="A41" s="555"/>
      <c r="B41" s="40" t="s">
        <v>658</v>
      </c>
      <c r="C41" s="40" t="s">
        <v>659</v>
      </c>
      <c r="D41" s="40" t="s">
        <v>660</v>
      </c>
      <c r="E41" s="40" t="s">
        <v>661</v>
      </c>
      <c r="F41" s="40"/>
      <c r="G41" s="40"/>
      <c r="H41" s="40"/>
      <c r="I41" s="40"/>
      <c r="J41" s="40"/>
      <c r="K41" s="40"/>
    </row>
    <row r="42" spans="1:11" ht="15" customHeight="1">
      <c r="A42" s="555"/>
      <c r="B42" s="40" t="s">
        <v>246</v>
      </c>
      <c r="C42" s="40" t="s">
        <v>379</v>
      </c>
      <c r="D42" s="40" t="s">
        <v>499</v>
      </c>
      <c r="E42" s="40" t="s">
        <v>247</v>
      </c>
      <c r="F42" s="40"/>
      <c r="G42" s="40"/>
      <c r="H42" s="40"/>
      <c r="I42" s="40"/>
      <c r="J42" s="40"/>
      <c r="K42" s="40"/>
    </row>
    <row r="43" spans="1:11" ht="15" customHeight="1">
      <c r="A43" s="555"/>
      <c r="B43" s="40" t="s">
        <v>662</v>
      </c>
      <c r="C43" s="40" t="s">
        <v>663</v>
      </c>
      <c r="D43" s="40" t="s">
        <v>664</v>
      </c>
      <c r="E43" s="40" t="s">
        <v>665</v>
      </c>
      <c r="F43" s="40"/>
      <c r="G43" s="40"/>
      <c r="H43" s="40"/>
      <c r="I43" s="40"/>
      <c r="J43" s="40"/>
      <c r="K43" s="40"/>
    </row>
    <row r="44" spans="1:11" s="551" customFormat="1" ht="27" customHeight="1">
      <c r="A44" s="556">
        <v>3</v>
      </c>
      <c r="B44" s="541" t="s">
        <v>758</v>
      </c>
      <c r="C44" s="552" t="s">
        <v>380</v>
      </c>
      <c r="D44" s="552" t="s">
        <v>500</v>
      </c>
      <c r="E44" s="552" t="s">
        <v>248</v>
      </c>
      <c r="F44" s="552"/>
      <c r="G44" s="552"/>
      <c r="H44" s="552"/>
      <c r="I44" s="552"/>
      <c r="J44" s="552"/>
      <c r="K44" s="552"/>
    </row>
    <row r="45" spans="1:11" ht="15" customHeight="1">
      <c r="A45" s="555"/>
      <c r="B45" s="468" t="s">
        <v>759</v>
      </c>
      <c r="C45" s="468" t="s">
        <v>381</v>
      </c>
      <c r="D45" s="468" t="s">
        <v>501</v>
      </c>
      <c r="E45" s="40" t="s">
        <v>249</v>
      </c>
      <c r="F45" s="40"/>
      <c r="G45" s="40"/>
      <c r="H45" s="40"/>
      <c r="I45" s="40"/>
      <c r="J45" s="40"/>
      <c r="K45" s="40"/>
    </row>
    <row r="46" spans="1:11" ht="15" customHeight="1">
      <c r="A46" s="555"/>
      <c r="B46" s="468" t="s">
        <v>760</v>
      </c>
      <c r="C46" s="468" t="s">
        <v>382</v>
      </c>
      <c r="D46" s="468" t="s">
        <v>502</v>
      </c>
      <c r="E46" s="40" t="s">
        <v>250</v>
      </c>
      <c r="F46" s="40"/>
      <c r="G46" s="40"/>
      <c r="H46" s="40"/>
      <c r="I46" s="40"/>
      <c r="J46" s="40"/>
      <c r="K46" s="40"/>
    </row>
    <row r="47" spans="1:11" ht="15" customHeight="1">
      <c r="A47" s="555"/>
      <c r="B47" s="468" t="s">
        <v>761</v>
      </c>
      <c r="C47" s="468" t="s">
        <v>383</v>
      </c>
      <c r="D47" s="468" t="s">
        <v>503</v>
      </c>
      <c r="E47" s="468" t="s">
        <v>251</v>
      </c>
      <c r="F47" s="40"/>
      <c r="G47" s="40"/>
      <c r="H47" s="40"/>
      <c r="I47" s="40"/>
      <c r="J47" s="40"/>
      <c r="K47" s="40"/>
    </row>
    <row r="48" spans="1:11" ht="15" customHeight="1">
      <c r="A48" s="555"/>
      <c r="B48" s="468" t="s">
        <v>762</v>
      </c>
      <c r="C48" s="468" t="s">
        <v>384</v>
      </c>
      <c r="D48" s="468" t="s">
        <v>504</v>
      </c>
      <c r="E48" s="468" t="s">
        <v>252</v>
      </c>
      <c r="F48" s="468"/>
      <c r="G48" s="468"/>
      <c r="H48" s="40"/>
      <c r="I48" s="40"/>
      <c r="J48" s="40"/>
      <c r="K48" s="40"/>
    </row>
    <row r="49" spans="1:11" ht="15" customHeight="1">
      <c r="A49" s="555"/>
      <c r="B49" s="468" t="s">
        <v>763</v>
      </c>
      <c r="C49" s="40" t="s">
        <v>667</v>
      </c>
      <c r="D49" s="40" t="s">
        <v>505</v>
      </c>
      <c r="E49" s="40" t="s">
        <v>253</v>
      </c>
      <c r="F49" s="40"/>
      <c r="G49" s="40"/>
      <c r="H49" s="40"/>
      <c r="I49" s="40"/>
      <c r="J49" s="40"/>
      <c r="K49" s="40"/>
    </row>
    <row r="50" spans="1:35" s="551" customFormat="1" ht="64.5" customHeight="1">
      <c r="A50" s="556"/>
      <c r="B50" s="541" t="s">
        <v>787</v>
      </c>
      <c r="C50" s="541" t="s">
        <v>670</v>
      </c>
      <c r="D50" s="541" t="s">
        <v>669</v>
      </c>
      <c r="E50" s="541" t="s">
        <v>668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50"/>
    </row>
    <row r="51" spans="1:12" ht="15" customHeight="1">
      <c r="A51" s="555">
        <v>4</v>
      </c>
      <c r="B51" s="468" t="s">
        <v>254</v>
      </c>
      <c r="C51" s="468" t="s">
        <v>634</v>
      </c>
      <c r="D51" s="468" t="s">
        <v>506</v>
      </c>
      <c r="E51" s="468" t="s">
        <v>255</v>
      </c>
      <c r="F51" s="468"/>
      <c r="G51" s="468"/>
      <c r="H51" s="468"/>
      <c r="I51" s="468"/>
      <c r="J51" s="468"/>
      <c r="K51" s="468"/>
      <c r="L51" s="543"/>
    </row>
    <row r="52" spans="1:15" ht="15" customHeight="1">
      <c r="A52" s="555"/>
      <c r="B52" s="468" t="s">
        <v>165</v>
      </c>
      <c r="C52" s="468" t="s">
        <v>385</v>
      </c>
      <c r="D52" s="468" t="s">
        <v>671</v>
      </c>
      <c r="E52" s="468" t="s">
        <v>256</v>
      </c>
      <c r="F52" s="468"/>
      <c r="G52" s="468"/>
      <c r="H52" s="468"/>
      <c r="I52" s="40"/>
      <c r="J52" s="40"/>
      <c r="K52" s="40"/>
      <c r="L52" s="536"/>
      <c r="M52" s="536"/>
      <c r="N52" s="536"/>
      <c r="O52" s="536"/>
    </row>
    <row r="53" spans="1:15" ht="15" customHeight="1">
      <c r="A53" s="555"/>
      <c r="B53" s="468" t="s">
        <v>767</v>
      </c>
      <c r="C53" s="468" t="s">
        <v>673</v>
      </c>
      <c r="D53" s="468" t="s">
        <v>674</v>
      </c>
      <c r="E53" s="468" t="s">
        <v>257</v>
      </c>
      <c r="F53" s="468"/>
      <c r="G53" s="468"/>
      <c r="H53" s="468"/>
      <c r="I53" s="468"/>
      <c r="J53" s="468"/>
      <c r="K53" s="468"/>
      <c r="L53" s="471"/>
      <c r="M53" s="471"/>
      <c r="N53" s="536"/>
      <c r="O53" s="536"/>
    </row>
    <row r="54" spans="1:15" ht="15" customHeight="1">
      <c r="A54" s="555"/>
      <c r="B54" s="538" t="s">
        <v>166</v>
      </c>
      <c r="C54" s="538" t="s">
        <v>386</v>
      </c>
      <c r="D54" s="538" t="s">
        <v>507</v>
      </c>
      <c r="E54" s="538" t="s">
        <v>258</v>
      </c>
      <c r="F54" s="538"/>
      <c r="G54" s="538"/>
      <c r="H54" s="538"/>
      <c r="I54" s="538"/>
      <c r="J54" s="538"/>
      <c r="K54" s="538"/>
      <c r="L54" s="544"/>
      <c r="M54" s="544"/>
      <c r="N54" s="544"/>
      <c r="O54" s="544"/>
    </row>
    <row r="55" spans="1:11" ht="15" customHeight="1">
      <c r="A55" s="555"/>
      <c r="B55" s="538" t="s">
        <v>768</v>
      </c>
      <c r="C55" s="538" t="s">
        <v>387</v>
      </c>
      <c r="D55" s="538" t="s">
        <v>672</v>
      </c>
      <c r="E55" s="538" t="s">
        <v>259</v>
      </c>
      <c r="F55" s="538"/>
      <c r="G55" s="40"/>
      <c r="H55" s="40"/>
      <c r="I55" s="40"/>
      <c r="J55" s="40"/>
      <c r="K55" s="40"/>
    </row>
    <row r="56" spans="1:11" ht="15" customHeight="1">
      <c r="A56" s="555"/>
      <c r="B56" s="468" t="s">
        <v>771</v>
      </c>
      <c r="C56" s="538" t="s">
        <v>388</v>
      </c>
      <c r="D56" s="538" t="s">
        <v>508</v>
      </c>
      <c r="E56" s="538" t="s">
        <v>260</v>
      </c>
      <c r="F56" s="538"/>
      <c r="G56" s="40"/>
      <c r="H56" s="40"/>
      <c r="I56" s="40"/>
      <c r="J56" s="40"/>
      <c r="K56" s="40"/>
    </row>
    <row r="57" spans="1:11" ht="15" customHeight="1">
      <c r="A57" s="555"/>
      <c r="B57" s="468" t="s">
        <v>772</v>
      </c>
      <c r="C57" s="468" t="s">
        <v>389</v>
      </c>
      <c r="D57" s="468" t="s">
        <v>509</v>
      </c>
      <c r="E57" s="468" t="s">
        <v>261</v>
      </c>
      <c r="F57" s="40"/>
      <c r="G57" s="40"/>
      <c r="H57" s="40"/>
      <c r="I57" s="40"/>
      <c r="J57" s="40"/>
      <c r="K57" s="40"/>
    </row>
    <row r="58" spans="1:11" ht="15" customHeight="1">
      <c r="A58" s="555"/>
      <c r="B58" s="468" t="s">
        <v>771</v>
      </c>
      <c r="C58" s="468" t="s">
        <v>388</v>
      </c>
      <c r="D58" s="468" t="s">
        <v>508</v>
      </c>
      <c r="E58" s="468" t="s">
        <v>260</v>
      </c>
      <c r="F58" s="40"/>
      <c r="G58" s="40"/>
      <c r="H58" s="40"/>
      <c r="I58" s="40"/>
      <c r="J58" s="40"/>
      <c r="K58" s="40"/>
    </row>
    <row r="59" spans="1:11" ht="15" customHeight="1">
      <c r="A59" s="555"/>
      <c r="B59" s="468" t="s">
        <v>772</v>
      </c>
      <c r="C59" s="40" t="s">
        <v>389</v>
      </c>
      <c r="D59" s="40" t="s">
        <v>509</v>
      </c>
      <c r="E59" s="40" t="s">
        <v>261</v>
      </c>
      <c r="F59" s="40"/>
      <c r="G59" s="40"/>
      <c r="H59" s="40"/>
      <c r="I59" s="40"/>
      <c r="J59" s="40"/>
      <c r="K59" s="40"/>
    </row>
    <row r="60" spans="1:11" ht="15" customHeight="1">
      <c r="A60" s="555"/>
      <c r="B60" s="468" t="s">
        <v>164</v>
      </c>
      <c r="C60" s="40" t="s">
        <v>675</v>
      </c>
      <c r="D60" s="40" t="s">
        <v>676</v>
      </c>
      <c r="E60" s="40" t="s">
        <v>262</v>
      </c>
      <c r="F60" s="40"/>
      <c r="G60" s="40"/>
      <c r="H60" s="40"/>
      <c r="I60" s="40"/>
      <c r="J60" s="40"/>
      <c r="K60" s="40"/>
    </row>
    <row r="61" spans="1:11" ht="15" customHeight="1">
      <c r="A61" s="555"/>
      <c r="B61" s="538" t="s">
        <v>163</v>
      </c>
      <c r="C61" s="538" t="s">
        <v>390</v>
      </c>
      <c r="D61" s="538" t="s">
        <v>510</v>
      </c>
      <c r="E61" s="538" t="s">
        <v>263</v>
      </c>
      <c r="F61" s="538"/>
      <c r="G61" s="40"/>
      <c r="H61" s="40"/>
      <c r="I61" s="40"/>
      <c r="J61" s="40"/>
      <c r="K61" s="40"/>
    </row>
    <row r="62" spans="1:11" ht="15" customHeight="1">
      <c r="A62" s="555"/>
      <c r="B62" s="468" t="s">
        <v>866</v>
      </c>
      <c r="C62" s="468" t="s">
        <v>391</v>
      </c>
      <c r="D62" s="468" t="s">
        <v>511</v>
      </c>
      <c r="E62" s="468" t="s">
        <v>264</v>
      </c>
      <c r="F62" s="40"/>
      <c r="G62" s="40"/>
      <c r="H62" s="40"/>
      <c r="I62" s="40"/>
      <c r="J62" s="40"/>
      <c r="K62" s="40"/>
    </row>
    <row r="63" spans="1:11" ht="15" customHeight="1">
      <c r="A63" s="555"/>
      <c r="B63" s="538" t="s">
        <v>770</v>
      </c>
      <c r="C63" s="538" t="s">
        <v>392</v>
      </c>
      <c r="D63" s="538" t="s">
        <v>512</v>
      </c>
      <c r="E63" s="538" t="s">
        <v>265</v>
      </c>
      <c r="F63" s="538"/>
      <c r="G63" s="40"/>
      <c r="H63" s="40"/>
      <c r="I63" s="40"/>
      <c r="J63" s="40"/>
      <c r="K63" s="40"/>
    </row>
    <row r="64" spans="1:11" ht="15" customHeight="1">
      <c r="A64" s="555"/>
      <c r="B64" s="468" t="s">
        <v>161</v>
      </c>
      <c r="C64" s="468" t="s">
        <v>393</v>
      </c>
      <c r="D64" s="468" t="s">
        <v>513</v>
      </c>
      <c r="E64" s="468" t="s">
        <v>266</v>
      </c>
      <c r="F64" s="468"/>
      <c r="G64" s="468"/>
      <c r="H64" s="40"/>
      <c r="I64" s="40"/>
      <c r="J64" s="40"/>
      <c r="K64" s="40"/>
    </row>
    <row r="65" spans="1:11" s="551" customFormat="1" ht="29.25" customHeight="1">
      <c r="A65" s="556"/>
      <c r="B65" s="541" t="s">
        <v>162</v>
      </c>
      <c r="C65" s="541" t="s">
        <v>394</v>
      </c>
      <c r="D65" s="541" t="s">
        <v>514</v>
      </c>
      <c r="E65" s="541" t="s">
        <v>267</v>
      </c>
      <c r="F65" s="541"/>
      <c r="G65" s="541"/>
      <c r="H65" s="552"/>
      <c r="I65" s="552"/>
      <c r="J65" s="552"/>
      <c r="K65" s="552"/>
    </row>
    <row r="66" spans="1:12" ht="15" customHeight="1">
      <c r="A66" s="555">
        <v>5</v>
      </c>
      <c r="B66" s="468" t="s">
        <v>268</v>
      </c>
      <c r="C66" s="468" t="s">
        <v>633</v>
      </c>
      <c r="D66" s="468" t="s">
        <v>635</v>
      </c>
      <c r="E66" s="468" t="s">
        <v>636</v>
      </c>
      <c r="F66" s="468"/>
      <c r="G66" s="468"/>
      <c r="H66" s="468"/>
      <c r="I66" s="468"/>
      <c r="J66" s="468"/>
      <c r="K66" s="468"/>
      <c r="L66" s="545"/>
    </row>
    <row r="67" spans="1:12" ht="15" customHeight="1">
      <c r="A67" s="555"/>
      <c r="B67" s="538" t="s">
        <v>777</v>
      </c>
      <c r="C67" s="538" t="s">
        <v>395</v>
      </c>
      <c r="D67" s="538" t="s">
        <v>515</v>
      </c>
      <c r="E67" s="40" t="s">
        <v>269</v>
      </c>
      <c r="F67" s="40"/>
      <c r="G67" s="40"/>
      <c r="H67" s="40"/>
      <c r="I67" s="40"/>
      <c r="J67" s="40"/>
      <c r="K67" s="40"/>
      <c r="L67" s="12"/>
    </row>
    <row r="68" spans="1:12" ht="15" customHeight="1">
      <c r="A68" s="555"/>
      <c r="B68" s="540" t="s">
        <v>720</v>
      </c>
      <c r="C68" s="540" t="s">
        <v>372</v>
      </c>
      <c r="D68" s="540" t="s">
        <v>516</v>
      </c>
      <c r="E68" s="40" t="s">
        <v>235</v>
      </c>
      <c r="F68" s="40"/>
      <c r="G68" s="40"/>
      <c r="H68" s="40"/>
      <c r="I68" s="40"/>
      <c r="J68" s="40"/>
      <c r="K68" s="40"/>
      <c r="L68" s="12"/>
    </row>
    <row r="69" spans="1:12" ht="15" customHeight="1">
      <c r="A69" s="555"/>
      <c r="B69" s="540" t="s">
        <v>769</v>
      </c>
      <c r="C69" s="540" t="s">
        <v>396</v>
      </c>
      <c r="D69" s="540" t="s">
        <v>517</v>
      </c>
      <c r="E69" s="40" t="s">
        <v>270</v>
      </c>
      <c r="F69" s="40"/>
      <c r="G69" s="40"/>
      <c r="H69" s="40"/>
      <c r="I69" s="40"/>
      <c r="J69" s="40"/>
      <c r="K69" s="40"/>
      <c r="L69" s="12"/>
    </row>
    <row r="70" spans="1:11" ht="15" customHeight="1">
      <c r="A70" s="555"/>
      <c r="B70" s="40" t="s">
        <v>777</v>
      </c>
      <c r="C70" s="40" t="s">
        <v>395</v>
      </c>
      <c r="D70" s="40" t="s">
        <v>515</v>
      </c>
      <c r="E70" s="40" t="s">
        <v>269</v>
      </c>
      <c r="F70" s="40"/>
      <c r="G70" s="40"/>
      <c r="H70" s="40"/>
      <c r="I70" s="40"/>
      <c r="J70" s="40"/>
      <c r="K70" s="40"/>
    </row>
    <row r="71" spans="1:11" ht="15" customHeight="1">
      <c r="A71" s="555"/>
      <c r="B71" s="40" t="s">
        <v>778</v>
      </c>
      <c r="C71" s="40" t="s">
        <v>397</v>
      </c>
      <c r="D71" s="40" t="s">
        <v>518</v>
      </c>
      <c r="E71" s="40" t="s">
        <v>271</v>
      </c>
      <c r="F71" s="40"/>
      <c r="G71" s="40"/>
      <c r="H71" s="40"/>
      <c r="I71" s="40"/>
      <c r="J71" s="40"/>
      <c r="K71" s="40"/>
    </row>
    <row r="72" spans="1:11" ht="15" customHeight="1">
      <c r="A72" s="555"/>
      <c r="B72" s="468" t="s">
        <v>133</v>
      </c>
      <c r="C72" s="40" t="s">
        <v>398</v>
      </c>
      <c r="D72" s="40" t="s">
        <v>519</v>
      </c>
      <c r="E72" s="40" t="s">
        <v>272</v>
      </c>
      <c r="F72" s="40"/>
      <c r="G72" s="40"/>
      <c r="H72" s="40"/>
      <c r="I72" s="40"/>
      <c r="J72" s="40"/>
      <c r="K72" s="40"/>
    </row>
    <row r="73" spans="1:11" ht="15" customHeight="1">
      <c r="A73" s="555"/>
      <c r="B73" s="541" t="s">
        <v>520</v>
      </c>
      <c r="C73" s="468" t="s">
        <v>399</v>
      </c>
      <c r="D73" s="541" t="s">
        <v>524</v>
      </c>
      <c r="E73" s="40" t="s">
        <v>273</v>
      </c>
      <c r="F73" s="40"/>
      <c r="G73" s="40"/>
      <c r="H73" s="40"/>
      <c r="I73" s="40"/>
      <c r="J73" s="40"/>
      <c r="K73" s="40"/>
    </row>
    <row r="74" spans="1:11" ht="15" customHeight="1">
      <c r="A74" s="555"/>
      <c r="B74" s="468" t="s">
        <v>768</v>
      </c>
      <c r="C74" s="468" t="s">
        <v>387</v>
      </c>
      <c r="D74" s="40" t="s">
        <v>526</v>
      </c>
      <c r="E74" s="538" t="s">
        <v>259</v>
      </c>
      <c r="F74" s="40"/>
      <c r="G74" s="40"/>
      <c r="H74" s="40"/>
      <c r="I74" s="40"/>
      <c r="J74" s="40"/>
      <c r="K74" s="40"/>
    </row>
    <row r="75" spans="1:11" ht="15" customHeight="1">
      <c r="A75" s="555"/>
      <c r="B75" s="468" t="s">
        <v>521</v>
      </c>
      <c r="C75" s="468" t="s">
        <v>400</v>
      </c>
      <c r="D75" s="541" t="s">
        <v>525</v>
      </c>
      <c r="E75" s="40" t="s">
        <v>274</v>
      </c>
      <c r="F75" s="40"/>
      <c r="G75" s="40"/>
      <c r="H75" s="40"/>
      <c r="I75" s="40"/>
      <c r="J75" s="40"/>
      <c r="K75" s="40"/>
    </row>
    <row r="76" spans="1:11" ht="15" customHeight="1">
      <c r="A76" s="555"/>
      <c r="B76" s="468" t="s">
        <v>768</v>
      </c>
      <c r="C76" s="468" t="s">
        <v>387</v>
      </c>
      <c r="D76" s="468" t="s">
        <v>526</v>
      </c>
      <c r="E76" s="538" t="s">
        <v>259</v>
      </c>
      <c r="F76" s="468"/>
      <c r="G76" s="40"/>
      <c r="H76" s="40"/>
      <c r="I76" s="40"/>
      <c r="J76" s="40"/>
      <c r="K76" s="40"/>
    </row>
    <row r="77" spans="1:11" ht="15" customHeight="1">
      <c r="A77" s="555"/>
      <c r="B77" s="468" t="s">
        <v>522</v>
      </c>
      <c r="C77" s="468" t="s">
        <v>401</v>
      </c>
      <c r="D77" s="541" t="s">
        <v>528</v>
      </c>
      <c r="E77" s="40" t="s">
        <v>275</v>
      </c>
      <c r="F77" s="40"/>
      <c r="G77" s="40"/>
      <c r="H77" s="40"/>
      <c r="I77" s="40"/>
      <c r="J77" s="40"/>
      <c r="K77" s="40"/>
    </row>
    <row r="78" spans="1:11" ht="15" customHeight="1">
      <c r="A78" s="555"/>
      <c r="B78" s="468" t="s">
        <v>768</v>
      </c>
      <c r="C78" s="468" t="s">
        <v>387</v>
      </c>
      <c r="D78" s="468" t="s">
        <v>526</v>
      </c>
      <c r="E78" s="538" t="s">
        <v>259</v>
      </c>
      <c r="F78" s="40"/>
      <c r="G78" s="40"/>
      <c r="H78" s="40"/>
      <c r="I78" s="40"/>
      <c r="J78" s="40"/>
      <c r="K78" s="40"/>
    </row>
    <row r="79" spans="1:11" ht="15" customHeight="1">
      <c r="A79" s="555"/>
      <c r="B79" s="468" t="s">
        <v>523</v>
      </c>
      <c r="C79" s="468" t="s">
        <v>402</v>
      </c>
      <c r="D79" s="541" t="s">
        <v>527</v>
      </c>
      <c r="E79" s="40" t="s">
        <v>276</v>
      </c>
      <c r="F79" s="40"/>
      <c r="G79" s="40"/>
      <c r="H79" s="40"/>
      <c r="I79" s="40"/>
      <c r="J79" s="40"/>
      <c r="K79" s="40"/>
    </row>
    <row r="80" spans="1:11" ht="30.75" customHeight="1">
      <c r="A80" s="555"/>
      <c r="B80" s="541" t="s">
        <v>677</v>
      </c>
      <c r="C80" s="468" t="s">
        <v>679</v>
      </c>
      <c r="D80" s="541" t="s">
        <v>681</v>
      </c>
      <c r="E80" s="40" t="s">
        <v>683</v>
      </c>
      <c r="F80" s="40"/>
      <c r="G80" s="40"/>
      <c r="H80" s="40"/>
      <c r="I80" s="40"/>
      <c r="J80" s="40"/>
      <c r="K80" s="40"/>
    </row>
    <row r="81" spans="1:11" ht="15" customHeight="1">
      <c r="A81" s="555"/>
      <c r="B81" s="468" t="s">
        <v>678</v>
      </c>
      <c r="C81" s="468" t="s">
        <v>680</v>
      </c>
      <c r="D81" s="541" t="s">
        <v>682</v>
      </c>
      <c r="E81" s="40" t="s">
        <v>684</v>
      </c>
      <c r="F81" s="40"/>
      <c r="G81" s="40"/>
      <c r="H81" s="40"/>
      <c r="I81" s="40"/>
      <c r="J81" s="40"/>
      <c r="K81" s="40"/>
    </row>
    <row r="82" spans="1:11" ht="15" customHeight="1">
      <c r="A82" s="555">
        <v>6</v>
      </c>
      <c r="B82" s="468" t="s">
        <v>779</v>
      </c>
      <c r="C82" s="468" t="s">
        <v>403</v>
      </c>
      <c r="D82" s="468" t="s">
        <v>529</v>
      </c>
      <c r="E82" s="468" t="s">
        <v>277</v>
      </c>
      <c r="F82" s="468"/>
      <c r="G82" s="468"/>
      <c r="H82" s="40"/>
      <c r="I82" s="40"/>
      <c r="J82" s="40"/>
      <c r="K82" s="40"/>
    </row>
    <row r="83" spans="1:11" ht="15" customHeight="1">
      <c r="A83" s="555"/>
      <c r="B83" s="538" t="s">
        <v>795</v>
      </c>
      <c r="C83" s="538" t="s">
        <v>404</v>
      </c>
      <c r="D83" s="538" t="s">
        <v>530</v>
      </c>
      <c r="E83" s="538" t="s">
        <v>278</v>
      </c>
      <c r="F83" s="468"/>
      <c r="G83" s="468"/>
      <c r="H83" s="40"/>
      <c r="I83" s="40"/>
      <c r="J83" s="40"/>
      <c r="K83" s="40"/>
    </row>
    <row r="84" spans="1:11" ht="15" customHeight="1">
      <c r="A84" s="555"/>
      <c r="B84" s="538" t="s">
        <v>794</v>
      </c>
      <c r="C84" s="538" t="s">
        <v>405</v>
      </c>
      <c r="D84" s="538" t="s">
        <v>532</v>
      </c>
      <c r="E84" s="538" t="s">
        <v>279</v>
      </c>
      <c r="F84" s="40"/>
      <c r="G84" s="40"/>
      <c r="H84" s="40"/>
      <c r="I84" s="40"/>
      <c r="J84" s="40"/>
      <c r="K84" s="40"/>
    </row>
    <row r="85" spans="1:11" ht="15" customHeight="1">
      <c r="A85" s="555"/>
      <c r="B85" s="468" t="s">
        <v>780</v>
      </c>
      <c r="C85" s="40" t="s">
        <v>406</v>
      </c>
      <c r="D85" s="40" t="s">
        <v>533</v>
      </c>
      <c r="E85" s="40" t="s">
        <v>280</v>
      </c>
      <c r="F85" s="40"/>
      <c r="G85" s="40"/>
      <c r="H85" s="40"/>
      <c r="I85" s="40"/>
      <c r="J85" s="40"/>
      <c r="K85" s="40"/>
    </row>
    <row r="86" spans="1:11" ht="15" customHeight="1">
      <c r="A86" s="555"/>
      <c r="B86" s="40" t="s">
        <v>795</v>
      </c>
      <c r="C86" s="40" t="s">
        <v>404</v>
      </c>
      <c r="D86" s="40" t="s">
        <v>530</v>
      </c>
      <c r="E86" s="40" t="s">
        <v>278</v>
      </c>
      <c r="F86" s="40"/>
      <c r="G86" s="40"/>
      <c r="H86" s="40"/>
      <c r="I86" s="40"/>
      <c r="J86" s="40"/>
      <c r="K86" s="40"/>
    </row>
    <row r="87" spans="1:11" ht="15" customHeight="1">
      <c r="A87" s="555"/>
      <c r="B87" s="40" t="s">
        <v>769</v>
      </c>
      <c r="C87" s="40" t="s">
        <v>396</v>
      </c>
      <c r="D87" s="40" t="s">
        <v>531</v>
      </c>
      <c r="E87" s="40" t="s">
        <v>270</v>
      </c>
      <c r="F87" s="40"/>
      <c r="G87" s="40"/>
      <c r="H87" s="40"/>
      <c r="I87" s="40"/>
      <c r="J87" s="40"/>
      <c r="K87" s="40"/>
    </row>
    <row r="88" spans="1:11" ht="15" customHeight="1">
      <c r="A88" s="555"/>
      <c r="B88" s="40" t="s">
        <v>794</v>
      </c>
      <c r="C88" s="40" t="s">
        <v>405</v>
      </c>
      <c r="D88" s="40" t="s">
        <v>532</v>
      </c>
      <c r="E88" s="40" t="s">
        <v>279</v>
      </c>
      <c r="F88" s="40"/>
      <c r="G88" s="40"/>
      <c r="H88" s="40"/>
      <c r="I88" s="40"/>
      <c r="J88" s="40"/>
      <c r="K88" s="40"/>
    </row>
    <row r="89" spans="1:11" ht="15" customHeight="1">
      <c r="A89" s="555"/>
      <c r="B89" s="40" t="s">
        <v>795</v>
      </c>
      <c r="C89" s="40" t="s">
        <v>404</v>
      </c>
      <c r="D89" s="40" t="s">
        <v>530</v>
      </c>
      <c r="E89" s="40" t="s">
        <v>278</v>
      </c>
      <c r="F89" s="40"/>
      <c r="G89" s="40"/>
      <c r="H89" s="40"/>
      <c r="I89" s="40"/>
      <c r="J89" s="40"/>
      <c r="K89" s="40"/>
    </row>
    <row r="90" spans="1:11" ht="15" customHeight="1">
      <c r="A90" s="555"/>
      <c r="B90" s="40" t="s">
        <v>769</v>
      </c>
      <c r="C90" s="40" t="s">
        <v>396</v>
      </c>
      <c r="D90" s="40" t="s">
        <v>531</v>
      </c>
      <c r="E90" s="40" t="s">
        <v>270</v>
      </c>
      <c r="F90" s="40"/>
      <c r="G90" s="40"/>
      <c r="H90" s="40"/>
      <c r="I90" s="40"/>
      <c r="J90" s="40"/>
      <c r="K90" s="40"/>
    </row>
    <row r="91" spans="1:11" ht="15" customHeight="1">
      <c r="A91" s="555"/>
      <c r="B91" s="40" t="s">
        <v>794</v>
      </c>
      <c r="C91" s="40" t="s">
        <v>405</v>
      </c>
      <c r="D91" s="40" t="s">
        <v>532</v>
      </c>
      <c r="E91" s="40" t="s">
        <v>279</v>
      </c>
      <c r="F91" s="40"/>
      <c r="G91" s="40"/>
      <c r="H91" s="40"/>
      <c r="I91" s="40"/>
      <c r="J91" s="40"/>
      <c r="K91" s="40"/>
    </row>
    <row r="92" spans="1:11" ht="15" customHeight="1">
      <c r="A92" s="555">
        <v>7</v>
      </c>
      <c r="B92" s="468" t="s">
        <v>786</v>
      </c>
      <c r="C92" s="40" t="s">
        <v>407</v>
      </c>
      <c r="D92" s="40" t="s">
        <v>534</v>
      </c>
      <c r="E92" s="40" t="s">
        <v>281</v>
      </c>
      <c r="F92" s="40"/>
      <c r="G92" s="40"/>
      <c r="H92" s="40"/>
      <c r="I92" s="40"/>
      <c r="J92" s="40"/>
      <c r="K92" s="40"/>
    </row>
    <row r="93" spans="1:11" ht="15" customHeight="1">
      <c r="A93" s="555"/>
      <c r="B93" s="468" t="s">
        <v>736</v>
      </c>
      <c r="C93" s="40" t="s">
        <v>408</v>
      </c>
      <c r="D93" s="40" t="s">
        <v>535</v>
      </c>
      <c r="E93" s="40" t="s">
        <v>282</v>
      </c>
      <c r="F93" s="40"/>
      <c r="G93" s="40"/>
      <c r="H93" s="40"/>
      <c r="I93" s="40"/>
      <c r="J93" s="40"/>
      <c r="K93" s="40"/>
    </row>
    <row r="94" spans="1:11" ht="15" customHeight="1">
      <c r="A94" s="555"/>
      <c r="B94" s="468" t="s">
        <v>737</v>
      </c>
      <c r="C94" s="538" t="s">
        <v>409</v>
      </c>
      <c r="D94" s="538" t="s">
        <v>536</v>
      </c>
      <c r="E94" s="538" t="s">
        <v>283</v>
      </c>
      <c r="F94" s="538"/>
      <c r="G94" s="40"/>
      <c r="H94" s="40"/>
      <c r="I94" s="40"/>
      <c r="J94" s="40"/>
      <c r="K94" s="40"/>
    </row>
    <row r="95" spans="1:11" ht="15" customHeight="1">
      <c r="A95" s="555"/>
      <c r="B95" s="468" t="s">
        <v>738</v>
      </c>
      <c r="C95" s="538" t="s">
        <v>410</v>
      </c>
      <c r="D95" s="538" t="s">
        <v>537</v>
      </c>
      <c r="E95" s="538" t="s">
        <v>284</v>
      </c>
      <c r="F95" s="538"/>
      <c r="G95" s="538"/>
      <c r="H95" s="538"/>
      <c r="I95" s="538"/>
      <c r="J95" s="40"/>
      <c r="K95" s="40"/>
    </row>
    <row r="96" spans="1:11" ht="15" customHeight="1">
      <c r="A96" s="555"/>
      <c r="B96" s="468" t="s">
        <v>739</v>
      </c>
      <c r="C96" s="468" t="s">
        <v>411</v>
      </c>
      <c r="D96" s="468" t="s">
        <v>739</v>
      </c>
      <c r="E96" s="468" t="s">
        <v>739</v>
      </c>
      <c r="F96" s="468"/>
      <c r="G96" s="468"/>
      <c r="H96" s="40"/>
      <c r="I96" s="40"/>
      <c r="J96" s="40"/>
      <c r="K96" s="40"/>
    </row>
    <row r="97" spans="1:11" ht="15" customHeight="1">
      <c r="A97" s="555"/>
      <c r="B97" s="468" t="s">
        <v>735</v>
      </c>
      <c r="C97" s="40" t="s">
        <v>412</v>
      </c>
      <c r="D97" s="40" t="s">
        <v>538</v>
      </c>
      <c r="E97" s="40" t="s">
        <v>285</v>
      </c>
      <c r="F97" s="40"/>
      <c r="G97" s="40"/>
      <c r="H97" s="40"/>
      <c r="I97" s="40"/>
      <c r="J97" s="40"/>
      <c r="K97" s="40"/>
    </row>
    <row r="98" spans="1:11" ht="15" customHeight="1">
      <c r="A98" s="555"/>
      <c r="B98" s="468" t="s">
        <v>688</v>
      </c>
      <c r="C98" s="468" t="s">
        <v>688</v>
      </c>
      <c r="D98" s="468" t="s">
        <v>688</v>
      </c>
      <c r="E98" s="40" t="s">
        <v>688</v>
      </c>
      <c r="F98" s="40"/>
      <c r="G98" s="40"/>
      <c r="H98" s="40"/>
      <c r="I98" s="40"/>
      <c r="J98" s="40"/>
      <c r="K98" s="40"/>
    </row>
    <row r="99" spans="1:11" ht="15" customHeight="1">
      <c r="A99" s="555"/>
      <c r="B99" s="468" t="s">
        <v>734</v>
      </c>
      <c r="C99" s="468" t="s">
        <v>413</v>
      </c>
      <c r="D99" s="468" t="s">
        <v>539</v>
      </c>
      <c r="E99" s="468" t="s">
        <v>286</v>
      </c>
      <c r="F99" s="468"/>
      <c r="G99" s="468"/>
      <c r="H99" s="468"/>
      <c r="I99" s="468"/>
      <c r="J99" s="468"/>
      <c r="K99" s="468"/>
    </row>
    <row r="100" spans="1:11" ht="15" customHeight="1">
      <c r="A100" s="555"/>
      <c r="B100" s="468" t="s">
        <v>788</v>
      </c>
      <c r="C100" s="468" t="s">
        <v>414</v>
      </c>
      <c r="D100" s="468" t="s">
        <v>540</v>
      </c>
      <c r="E100" s="468" t="s">
        <v>287</v>
      </c>
      <c r="F100" s="468"/>
      <c r="G100" s="468"/>
      <c r="H100" s="468"/>
      <c r="I100" s="468"/>
      <c r="J100" s="468"/>
      <c r="K100" s="468"/>
    </row>
    <row r="101" spans="1:11" ht="15" customHeight="1">
      <c r="A101" s="555"/>
      <c r="B101" s="538" t="s">
        <v>796</v>
      </c>
      <c r="C101" s="40" t="s">
        <v>598</v>
      </c>
      <c r="D101" s="40" t="s">
        <v>541</v>
      </c>
      <c r="E101" s="40" t="s">
        <v>599</v>
      </c>
      <c r="F101" s="40"/>
      <c r="G101" s="40"/>
      <c r="H101" s="40"/>
      <c r="I101" s="40"/>
      <c r="J101" s="40"/>
      <c r="K101" s="40"/>
    </row>
    <row r="102" spans="1:11" ht="15" customHeight="1">
      <c r="A102" s="555"/>
      <c r="B102" s="538" t="s">
        <v>790</v>
      </c>
      <c r="C102" s="40" t="s">
        <v>416</v>
      </c>
      <c r="D102" s="40" t="s">
        <v>542</v>
      </c>
      <c r="E102" s="40" t="s">
        <v>289</v>
      </c>
      <c r="F102" s="40"/>
      <c r="G102" s="40"/>
      <c r="H102" s="40"/>
      <c r="I102" s="40"/>
      <c r="J102" s="40"/>
      <c r="K102" s="40"/>
    </row>
    <row r="103" spans="1:11" ht="15" customHeight="1">
      <c r="A103" s="555"/>
      <c r="B103" s="538" t="s">
        <v>796</v>
      </c>
      <c r="C103" s="40" t="s">
        <v>415</v>
      </c>
      <c r="D103" s="40" t="s">
        <v>541</v>
      </c>
      <c r="E103" s="40" t="s">
        <v>288</v>
      </c>
      <c r="F103" s="40"/>
      <c r="G103" s="40"/>
      <c r="H103" s="40"/>
      <c r="I103" s="40"/>
      <c r="J103" s="40"/>
      <c r="K103" s="40"/>
    </row>
    <row r="104" spans="1:11" ht="15" customHeight="1">
      <c r="A104" s="555">
        <v>8</v>
      </c>
      <c r="B104" s="40" t="s">
        <v>692</v>
      </c>
      <c r="C104" s="40" t="s">
        <v>377</v>
      </c>
      <c r="D104" s="40" t="s">
        <v>497</v>
      </c>
      <c r="E104" s="40" t="s">
        <v>243</v>
      </c>
      <c r="F104" s="40"/>
      <c r="G104" s="40"/>
      <c r="H104" s="40"/>
      <c r="I104" s="40"/>
      <c r="J104" s="40"/>
      <c r="K104" s="40"/>
    </row>
    <row r="105" spans="1:11" ht="15" customHeight="1">
      <c r="A105" s="555"/>
      <c r="B105" s="468" t="s">
        <v>693</v>
      </c>
      <c r="C105" s="468" t="s">
        <v>417</v>
      </c>
      <c r="D105" s="40" t="s">
        <v>501</v>
      </c>
      <c r="E105" s="40" t="s">
        <v>249</v>
      </c>
      <c r="F105" s="40"/>
      <c r="G105" s="40"/>
      <c r="H105" s="40"/>
      <c r="I105" s="40"/>
      <c r="J105" s="40"/>
      <c r="K105" s="40"/>
    </row>
    <row r="106" spans="1:11" ht="15" customHeight="1">
      <c r="A106" s="555"/>
      <c r="B106" s="468" t="s">
        <v>4</v>
      </c>
      <c r="C106" s="40" t="s">
        <v>418</v>
      </c>
      <c r="D106" s="40" t="s">
        <v>543</v>
      </c>
      <c r="E106" s="40" t="s">
        <v>290</v>
      </c>
      <c r="F106" s="40"/>
      <c r="G106" s="40"/>
      <c r="H106" s="40"/>
      <c r="I106" s="40"/>
      <c r="J106" s="40"/>
      <c r="K106" s="40"/>
    </row>
    <row r="107" spans="1:11" ht="15" customHeight="1">
      <c r="A107" s="555">
        <v>9</v>
      </c>
      <c r="B107" s="468" t="s">
        <v>694</v>
      </c>
      <c r="C107" s="40" t="s">
        <v>419</v>
      </c>
      <c r="D107" s="40" t="s">
        <v>544</v>
      </c>
      <c r="E107" s="40" t="s">
        <v>291</v>
      </c>
      <c r="F107" s="40"/>
      <c r="G107" s="40"/>
      <c r="H107" s="40"/>
      <c r="I107" s="40"/>
      <c r="J107" s="40"/>
      <c r="K107" s="40"/>
    </row>
    <row r="108" spans="1:11" ht="15" customHeight="1">
      <c r="A108" s="555"/>
      <c r="B108" s="40" t="s">
        <v>693</v>
      </c>
      <c r="C108" s="40" t="s">
        <v>417</v>
      </c>
      <c r="D108" s="40" t="s">
        <v>501</v>
      </c>
      <c r="E108" s="40" t="s">
        <v>249</v>
      </c>
      <c r="F108" s="40"/>
      <c r="G108" s="40"/>
      <c r="H108" s="40"/>
      <c r="I108" s="40"/>
      <c r="J108" s="40"/>
      <c r="K108" s="40"/>
    </row>
    <row r="109" spans="1:11" ht="15" customHeight="1">
      <c r="A109" s="555"/>
      <c r="B109" s="40" t="s">
        <v>4</v>
      </c>
      <c r="C109" s="40" t="s">
        <v>418</v>
      </c>
      <c r="D109" s="40" t="s">
        <v>543</v>
      </c>
      <c r="E109" s="40" t="s">
        <v>290</v>
      </c>
      <c r="F109" s="40"/>
      <c r="G109" s="40"/>
      <c r="H109" s="40"/>
      <c r="I109" s="40"/>
      <c r="J109" s="40"/>
      <c r="K109" s="40"/>
    </row>
    <row r="110" spans="1:11" s="551" customFormat="1" ht="30" customHeight="1">
      <c r="A110" s="556"/>
      <c r="B110" s="558" t="s">
        <v>625</v>
      </c>
      <c r="C110" s="559" t="s">
        <v>626</v>
      </c>
      <c r="D110" s="559" t="s">
        <v>627</v>
      </c>
      <c r="E110" s="558" t="s">
        <v>628</v>
      </c>
      <c r="F110" s="552"/>
      <c r="G110" s="552"/>
      <c r="H110" s="552"/>
      <c r="I110" s="552"/>
      <c r="J110" s="552"/>
      <c r="K110" s="552"/>
    </row>
    <row r="111" spans="1:11" s="551" customFormat="1" ht="30" customHeight="1">
      <c r="A111" s="556"/>
      <c r="B111" s="541" t="s">
        <v>732</v>
      </c>
      <c r="C111" s="552" t="s">
        <v>420</v>
      </c>
      <c r="D111" s="552" t="s">
        <v>545</v>
      </c>
      <c r="E111" s="541" t="s">
        <v>292</v>
      </c>
      <c r="F111" s="552"/>
      <c r="G111" s="552"/>
      <c r="H111" s="552"/>
      <c r="I111" s="552"/>
      <c r="J111" s="552"/>
      <c r="K111" s="552"/>
    </row>
    <row r="112" spans="1:11" s="551" customFormat="1" ht="30" customHeight="1">
      <c r="A112" s="556"/>
      <c r="B112" s="541" t="s">
        <v>733</v>
      </c>
      <c r="C112" s="552" t="s">
        <v>421</v>
      </c>
      <c r="D112" s="552" t="s">
        <v>546</v>
      </c>
      <c r="E112" s="541" t="s">
        <v>293</v>
      </c>
      <c r="F112" s="552"/>
      <c r="G112" s="552"/>
      <c r="H112" s="552"/>
      <c r="I112" s="552"/>
      <c r="J112" s="552"/>
      <c r="K112" s="552"/>
    </row>
    <row r="113" spans="1:11" s="551" customFormat="1" ht="30" customHeight="1">
      <c r="A113" s="556"/>
      <c r="B113" s="541" t="s">
        <v>49</v>
      </c>
      <c r="C113" s="552" t="s">
        <v>422</v>
      </c>
      <c r="D113" s="552" t="s">
        <v>547</v>
      </c>
      <c r="E113" s="541" t="s">
        <v>294</v>
      </c>
      <c r="F113" s="552"/>
      <c r="G113" s="552"/>
      <c r="H113" s="552"/>
      <c r="I113" s="552"/>
      <c r="J113" s="552"/>
      <c r="K113" s="552"/>
    </row>
    <row r="114" spans="1:11" s="551" customFormat="1" ht="30" customHeight="1">
      <c r="A114" s="556"/>
      <c r="B114" s="546" t="s">
        <v>50</v>
      </c>
      <c r="C114" s="552" t="s">
        <v>423</v>
      </c>
      <c r="D114" s="552" t="s">
        <v>548</v>
      </c>
      <c r="E114" s="541" t="s">
        <v>295</v>
      </c>
      <c r="F114" s="552"/>
      <c r="G114" s="552"/>
      <c r="H114" s="552"/>
      <c r="I114" s="552"/>
      <c r="J114" s="552"/>
      <c r="K114" s="552"/>
    </row>
    <row r="115" spans="1:11" ht="15" customHeight="1">
      <c r="A115" s="555"/>
      <c r="B115" s="40" t="s">
        <v>51</v>
      </c>
      <c r="C115" s="40" t="s">
        <v>424</v>
      </c>
      <c r="D115" s="40" t="s">
        <v>549</v>
      </c>
      <c r="E115" s="40" t="s">
        <v>296</v>
      </c>
      <c r="F115" s="40"/>
      <c r="G115" s="40"/>
      <c r="H115" s="40"/>
      <c r="I115" s="40"/>
      <c r="J115" s="40"/>
      <c r="K115" s="40"/>
    </row>
    <row r="116" spans="1:11" ht="15" customHeight="1">
      <c r="A116" s="555">
        <v>10</v>
      </c>
      <c r="B116" s="468" t="s">
        <v>724</v>
      </c>
      <c r="C116" s="468" t="s">
        <v>425</v>
      </c>
      <c r="D116" s="468" t="s">
        <v>550</v>
      </c>
      <c r="E116" s="468" t="s">
        <v>297</v>
      </c>
      <c r="F116" s="468"/>
      <c r="G116" s="468"/>
      <c r="H116" s="468"/>
      <c r="I116" s="40"/>
      <c r="J116" s="40"/>
      <c r="K116" s="40"/>
    </row>
    <row r="117" spans="1:11" ht="15" customHeight="1">
      <c r="A117" s="555"/>
      <c r="B117" s="40" t="s">
        <v>298</v>
      </c>
      <c r="C117" s="40" t="s">
        <v>630</v>
      </c>
      <c r="D117" s="40" t="s">
        <v>631</v>
      </c>
      <c r="E117" s="40" t="s">
        <v>299</v>
      </c>
      <c r="F117" s="40"/>
      <c r="G117" s="40"/>
      <c r="H117" s="40"/>
      <c r="I117" s="40"/>
      <c r="J117" s="40"/>
      <c r="K117" s="40"/>
    </row>
    <row r="118" spans="1:11" ht="15" customHeight="1">
      <c r="A118" s="555"/>
      <c r="B118" s="40" t="s">
        <v>725</v>
      </c>
      <c r="C118" s="40" t="s">
        <v>468</v>
      </c>
      <c r="D118" s="40" t="s">
        <v>551</v>
      </c>
      <c r="E118" s="40" t="s">
        <v>468</v>
      </c>
      <c r="F118" s="40"/>
      <c r="G118" s="40"/>
      <c r="H118" s="40"/>
      <c r="I118" s="40"/>
      <c r="J118" s="40"/>
      <c r="K118" s="40"/>
    </row>
    <row r="119" spans="1:11" ht="15" customHeight="1">
      <c r="A119" s="555"/>
      <c r="B119" s="468" t="s">
        <v>726</v>
      </c>
      <c r="C119" s="40" t="s">
        <v>426</v>
      </c>
      <c r="D119" s="40" t="s">
        <v>552</v>
      </c>
      <c r="E119" s="40" t="s">
        <v>300</v>
      </c>
      <c r="F119" s="40"/>
      <c r="G119" s="40"/>
      <c r="H119" s="40"/>
      <c r="I119" s="40"/>
      <c r="J119" s="40"/>
      <c r="K119" s="40"/>
    </row>
    <row r="120" spans="1:11" ht="15" customHeight="1">
      <c r="A120" s="555"/>
      <c r="B120" s="468" t="s">
        <v>301</v>
      </c>
      <c r="C120" s="40" t="s">
        <v>427</v>
      </c>
      <c r="D120" s="40" t="s">
        <v>553</v>
      </c>
      <c r="E120" s="40" t="s">
        <v>302</v>
      </c>
      <c r="F120" s="40"/>
      <c r="G120" s="40"/>
      <c r="H120" s="40"/>
      <c r="I120" s="40"/>
      <c r="J120" s="40"/>
      <c r="K120" s="40"/>
    </row>
    <row r="121" spans="1:11" ht="15" customHeight="1">
      <c r="A121" s="555"/>
      <c r="B121" s="468" t="s">
        <v>728</v>
      </c>
      <c r="C121" s="40" t="s">
        <v>428</v>
      </c>
      <c r="D121" s="40" t="s">
        <v>554</v>
      </c>
      <c r="E121" s="40" t="s">
        <v>303</v>
      </c>
      <c r="F121" s="40"/>
      <c r="G121" s="40"/>
      <c r="H121" s="40"/>
      <c r="I121" s="40"/>
      <c r="J121" s="40"/>
      <c r="K121" s="40"/>
    </row>
    <row r="122" spans="1:11" ht="15" customHeight="1">
      <c r="A122" s="555"/>
      <c r="B122" s="468" t="s">
        <v>729</v>
      </c>
      <c r="C122" s="40" t="s">
        <v>429</v>
      </c>
      <c r="D122" s="40" t="s">
        <v>555</v>
      </c>
      <c r="E122" s="40" t="s">
        <v>304</v>
      </c>
      <c r="F122" s="40"/>
      <c r="G122" s="40"/>
      <c r="H122" s="40"/>
      <c r="I122" s="40"/>
      <c r="J122" s="40"/>
      <c r="K122" s="40"/>
    </row>
    <row r="123" spans="1:11" ht="15" customHeight="1">
      <c r="A123" s="555"/>
      <c r="B123" s="468" t="s">
        <v>727</v>
      </c>
      <c r="C123" s="468" t="s">
        <v>430</v>
      </c>
      <c r="D123" s="468" t="s">
        <v>556</v>
      </c>
      <c r="E123" s="468" t="s">
        <v>305</v>
      </c>
      <c r="F123" s="40"/>
      <c r="G123" s="40"/>
      <c r="H123" s="40"/>
      <c r="I123" s="40"/>
      <c r="J123" s="40"/>
      <c r="K123" s="40"/>
    </row>
    <row r="124" spans="1:11" ht="15" customHeight="1">
      <c r="A124" s="555"/>
      <c r="B124" s="468" t="s">
        <v>726</v>
      </c>
      <c r="C124" s="40" t="s">
        <v>426</v>
      </c>
      <c r="D124" s="40" t="s">
        <v>552</v>
      </c>
      <c r="E124" s="40" t="s">
        <v>300</v>
      </c>
      <c r="F124" s="40"/>
      <c r="G124" s="40"/>
      <c r="H124" s="40"/>
      <c r="I124" s="40"/>
      <c r="J124" s="40"/>
      <c r="K124" s="40"/>
    </row>
    <row r="125" spans="1:11" ht="15" customHeight="1">
      <c r="A125" s="555"/>
      <c r="B125" s="468" t="s">
        <v>301</v>
      </c>
      <c r="C125" s="40" t="s">
        <v>427</v>
      </c>
      <c r="D125" s="40" t="s">
        <v>553</v>
      </c>
      <c r="E125" s="40" t="s">
        <v>302</v>
      </c>
      <c r="F125" s="40"/>
      <c r="G125" s="40"/>
      <c r="H125" s="40"/>
      <c r="I125" s="40"/>
      <c r="J125" s="40"/>
      <c r="K125" s="40"/>
    </row>
    <row r="126" spans="1:11" ht="15" customHeight="1">
      <c r="A126" s="555"/>
      <c r="B126" s="468" t="s">
        <v>730</v>
      </c>
      <c r="C126" s="40" t="s">
        <v>431</v>
      </c>
      <c r="D126" s="40" t="s">
        <v>557</v>
      </c>
      <c r="E126" s="40" t="s">
        <v>306</v>
      </c>
      <c r="F126" s="40"/>
      <c r="G126" s="40"/>
      <c r="H126" s="40"/>
      <c r="I126" s="40"/>
      <c r="J126" s="40"/>
      <c r="K126" s="40"/>
    </row>
    <row r="127" spans="1:11" ht="15" customHeight="1">
      <c r="A127" s="555"/>
      <c r="B127" s="468" t="s">
        <v>731</v>
      </c>
      <c r="C127" s="40" t="s">
        <v>432</v>
      </c>
      <c r="D127" s="40" t="s">
        <v>558</v>
      </c>
      <c r="E127" s="40" t="s">
        <v>307</v>
      </c>
      <c r="F127" s="40"/>
      <c r="G127" s="40"/>
      <c r="H127" s="40"/>
      <c r="I127" s="40"/>
      <c r="J127" s="40"/>
      <c r="K127" s="40"/>
    </row>
    <row r="128" spans="1:11" ht="15" customHeight="1">
      <c r="A128" s="555">
        <v>11</v>
      </c>
      <c r="B128" s="468" t="s">
        <v>69</v>
      </c>
      <c r="C128" s="468" t="s">
        <v>632</v>
      </c>
      <c r="D128" s="468" t="s">
        <v>559</v>
      </c>
      <c r="E128" s="468" t="s">
        <v>308</v>
      </c>
      <c r="F128" s="468"/>
      <c r="G128" s="468"/>
      <c r="H128" s="468"/>
      <c r="I128" s="40"/>
      <c r="J128" s="40"/>
      <c r="K128" s="40"/>
    </row>
    <row r="129" spans="1:11" ht="15" customHeight="1">
      <c r="A129" s="555"/>
      <c r="B129" s="468" t="s">
        <v>693</v>
      </c>
      <c r="C129" s="40" t="s">
        <v>417</v>
      </c>
      <c r="D129" s="40" t="s">
        <v>501</v>
      </c>
      <c r="E129" s="40" t="s">
        <v>249</v>
      </c>
      <c r="F129" s="40"/>
      <c r="G129" s="40"/>
      <c r="H129" s="40"/>
      <c r="I129" s="40"/>
      <c r="J129" s="40"/>
      <c r="K129" s="40"/>
    </row>
    <row r="130" spans="1:24" s="551" customFormat="1" ht="55.5" customHeight="1">
      <c r="A130" s="556"/>
      <c r="B130" s="541" t="s">
        <v>309</v>
      </c>
      <c r="C130" s="541" t="s">
        <v>560</v>
      </c>
      <c r="D130" s="541" t="s">
        <v>561</v>
      </c>
      <c r="E130" s="541" t="s">
        <v>310</v>
      </c>
      <c r="F130" s="541"/>
      <c r="G130" s="541"/>
      <c r="H130" s="541"/>
      <c r="I130" s="541"/>
      <c r="J130" s="541"/>
      <c r="K130" s="541"/>
      <c r="L130" s="553"/>
      <c r="M130" s="553"/>
      <c r="N130" s="553"/>
      <c r="O130" s="553"/>
      <c r="P130" s="553"/>
      <c r="Q130" s="553"/>
      <c r="R130" s="553"/>
      <c r="S130" s="553"/>
      <c r="T130" s="553"/>
      <c r="U130" s="553"/>
      <c r="V130" s="553"/>
      <c r="W130" s="553"/>
      <c r="X130" s="553"/>
    </row>
    <row r="131" spans="1:11" ht="15" customHeight="1">
      <c r="A131" s="555"/>
      <c r="B131" s="468" t="s">
        <v>793</v>
      </c>
      <c r="C131" s="468" t="s">
        <v>376</v>
      </c>
      <c r="D131" s="468" t="s">
        <v>562</v>
      </c>
      <c r="E131" s="468" t="s">
        <v>311</v>
      </c>
      <c r="F131" s="468"/>
      <c r="G131" s="40"/>
      <c r="H131" s="40"/>
      <c r="I131" s="40"/>
      <c r="J131" s="40"/>
      <c r="K131" s="40"/>
    </row>
    <row r="132" spans="1:11" ht="15" customHeight="1">
      <c r="A132" s="555"/>
      <c r="B132" s="468" t="s">
        <v>791</v>
      </c>
      <c r="C132" s="40" t="s">
        <v>433</v>
      </c>
      <c r="D132" s="40" t="s">
        <v>563</v>
      </c>
      <c r="E132" s="40" t="s">
        <v>312</v>
      </c>
      <c r="F132" s="40"/>
      <c r="G132" s="40"/>
      <c r="H132" s="40"/>
      <c r="I132" s="40"/>
      <c r="J132" s="40"/>
      <c r="K132" s="40"/>
    </row>
    <row r="133" spans="1:11" ht="15" customHeight="1">
      <c r="A133" s="555"/>
      <c r="B133" s="468" t="s">
        <v>799</v>
      </c>
      <c r="C133" s="40" t="s">
        <v>434</v>
      </c>
      <c r="D133" s="40" t="s">
        <v>565</v>
      </c>
      <c r="E133" s="40" t="s">
        <v>313</v>
      </c>
      <c r="F133" s="40"/>
      <c r="G133" s="40"/>
      <c r="H133" s="40"/>
      <c r="I133" s="40"/>
      <c r="J133" s="40"/>
      <c r="K133" s="40"/>
    </row>
    <row r="134" spans="1:11" ht="15" customHeight="1">
      <c r="A134" s="555"/>
      <c r="B134" s="468" t="s">
        <v>800</v>
      </c>
      <c r="C134" s="40" t="s">
        <v>435</v>
      </c>
      <c r="D134" s="40" t="s">
        <v>566</v>
      </c>
      <c r="E134" s="40" t="s">
        <v>314</v>
      </c>
      <c r="F134" s="40"/>
      <c r="G134" s="40"/>
      <c r="H134" s="40"/>
      <c r="I134" s="40"/>
      <c r="J134" s="40"/>
      <c r="K134" s="40"/>
    </row>
    <row r="135" spans="1:11" ht="15" customHeight="1">
      <c r="A135" s="555"/>
      <c r="B135" s="468" t="s">
        <v>801</v>
      </c>
      <c r="C135" s="40" t="s">
        <v>436</v>
      </c>
      <c r="D135" s="40" t="s">
        <v>567</v>
      </c>
      <c r="E135" s="40" t="s">
        <v>315</v>
      </c>
      <c r="F135" s="40"/>
      <c r="G135" s="40"/>
      <c r="H135" s="40"/>
      <c r="I135" s="40"/>
      <c r="J135" s="40"/>
      <c r="K135" s="40"/>
    </row>
    <row r="136" spans="1:11" ht="15" customHeight="1">
      <c r="A136" s="555"/>
      <c r="B136" s="538" t="s">
        <v>1</v>
      </c>
      <c r="C136" s="538" t="s">
        <v>437</v>
      </c>
      <c r="D136" s="538" t="s">
        <v>568</v>
      </c>
      <c r="E136" s="538" t="s">
        <v>316</v>
      </c>
      <c r="F136" s="538"/>
      <c r="G136" s="40"/>
      <c r="H136" s="40"/>
      <c r="I136" s="40"/>
      <c r="J136" s="40"/>
      <c r="K136" s="40"/>
    </row>
    <row r="137" spans="1:11" ht="15" customHeight="1">
      <c r="A137" s="555"/>
      <c r="B137" s="468" t="s">
        <v>792</v>
      </c>
      <c r="C137" s="40" t="s">
        <v>438</v>
      </c>
      <c r="D137" s="40" t="s">
        <v>564</v>
      </c>
      <c r="E137" s="40" t="s">
        <v>317</v>
      </c>
      <c r="F137" s="40"/>
      <c r="G137" s="40"/>
      <c r="H137" s="40"/>
      <c r="I137" s="40"/>
      <c r="J137" s="40"/>
      <c r="K137" s="40"/>
    </row>
    <row r="138" spans="1:11" ht="15" customHeight="1">
      <c r="A138" s="555"/>
      <c r="B138" s="468" t="s">
        <v>799</v>
      </c>
      <c r="C138" s="40" t="s">
        <v>434</v>
      </c>
      <c r="D138" s="40" t="s">
        <v>565</v>
      </c>
      <c r="E138" s="40" t="s">
        <v>313</v>
      </c>
      <c r="F138" s="40"/>
      <c r="G138" s="40"/>
      <c r="H138" s="40"/>
      <c r="I138" s="40"/>
      <c r="J138" s="40"/>
      <c r="K138" s="40"/>
    </row>
    <row r="139" spans="1:11" ht="15" customHeight="1">
      <c r="A139" s="555"/>
      <c r="B139" s="468" t="s">
        <v>800</v>
      </c>
      <c r="C139" s="40" t="s">
        <v>435</v>
      </c>
      <c r="D139" s="40" t="s">
        <v>566</v>
      </c>
      <c r="E139" s="40" t="s">
        <v>314</v>
      </c>
      <c r="F139" s="40"/>
      <c r="G139" s="40"/>
      <c r="H139" s="40"/>
      <c r="I139" s="40"/>
      <c r="J139" s="40"/>
      <c r="K139" s="40"/>
    </row>
    <row r="140" spans="1:11" ht="15" customHeight="1">
      <c r="A140" s="555"/>
      <c r="B140" s="468" t="s">
        <v>801</v>
      </c>
      <c r="C140" s="40" t="s">
        <v>436</v>
      </c>
      <c r="D140" s="40" t="s">
        <v>567</v>
      </c>
      <c r="E140" s="40" t="s">
        <v>315</v>
      </c>
      <c r="F140" s="40"/>
      <c r="G140" s="40"/>
      <c r="H140" s="40"/>
      <c r="I140" s="40"/>
      <c r="J140" s="40"/>
      <c r="K140" s="40"/>
    </row>
    <row r="141" spans="1:14" ht="15" customHeight="1">
      <c r="A141" s="555">
        <v>12</v>
      </c>
      <c r="B141" s="468" t="s">
        <v>740</v>
      </c>
      <c r="C141" s="468" t="s">
        <v>439</v>
      </c>
      <c r="D141" s="468" t="s">
        <v>569</v>
      </c>
      <c r="E141" s="468" t="s">
        <v>318</v>
      </c>
      <c r="F141" s="468"/>
      <c r="G141" s="468"/>
      <c r="H141" s="468"/>
      <c r="I141" s="468"/>
      <c r="J141" s="468"/>
      <c r="K141" s="468"/>
      <c r="L141" s="547"/>
      <c r="M141" s="547"/>
      <c r="N141" s="547"/>
    </row>
    <row r="142" spans="1:11" ht="15" customHeight="1">
      <c r="A142" s="555"/>
      <c r="B142" s="468" t="s">
        <v>1015</v>
      </c>
      <c r="C142" s="40" t="s">
        <v>417</v>
      </c>
      <c r="D142" s="40" t="s">
        <v>501</v>
      </c>
      <c r="E142" s="40" t="s">
        <v>319</v>
      </c>
      <c r="F142" s="40"/>
      <c r="G142" s="40"/>
      <c r="H142" s="40"/>
      <c r="I142" s="40"/>
      <c r="J142" s="40"/>
      <c r="K142" s="40"/>
    </row>
    <row r="143" spans="1:11" ht="38.25" customHeight="1">
      <c r="A143" s="555"/>
      <c r="B143" s="468" t="s">
        <v>881</v>
      </c>
      <c r="C143" s="40" t="s">
        <v>440</v>
      </c>
      <c r="D143" s="40" t="s">
        <v>570</v>
      </c>
      <c r="E143" s="468" t="s">
        <v>320</v>
      </c>
      <c r="F143" s="40"/>
      <c r="G143" s="40"/>
      <c r="H143" s="40"/>
      <c r="I143" s="40"/>
      <c r="J143" s="40"/>
      <c r="K143" s="40"/>
    </row>
    <row r="144" spans="1:11" ht="15" customHeight="1">
      <c r="A144" s="555"/>
      <c r="B144" s="468" t="s">
        <v>882</v>
      </c>
      <c r="C144" s="40" t="s">
        <v>441</v>
      </c>
      <c r="D144" s="40" t="s">
        <v>571</v>
      </c>
      <c r="E144" s="40" t="s">
        <v>321</v>
      </c>
      <c r="F144" s="40"/>
      <c r="G144" s="40"/>
      <c r="H144" s="40"/>
      <c r="I144" s="40"/>
      <c r="J144" s="40"/>
      <c r="K144" s="40"/>
    </row>
    <row r="145" spans="1:11" ht="15" customHeight="1">
      <c r="A145" s="555"/>
      <c r="B145" s="468" t="s">
        <v>784</v>
      </c>
      <c r="C145" s="40" t="s">
        <v>442</v>
      </c>
      <c r="D145" s="40" t="s">
        <v>572</v>
      </c>
      <c r="E145" s="40" t="s">
        <v>322</v>
      </c>
      <c r="F145" s="40"/>
      <c r="G145" s="40"/>
      <c r="H145" s="40"/>
      <c r="I145" s="40"/>
      <c r="J145" s="40"/>
      <c r="K145" s="40"/>
    </row>
    <row r="146" spans="1:11" ht="15" customHeight="1">
      <c r="A146" s="555"/>
      <c r="B146" s="538" t="s">
        <v>785</v>
      </c>
      <c r="C146" s="40" t="s">
        <v>443</v>
      </c>
      <c r="D146" s="40" t="s">
        <v>573</v>
      </c>
      <c r="E146" s="40" t="s">
        <v>323</v>
      </c>
      <c r="F146" s="40"/>
      <c r="G146" s="40"/>
      <c r="H146" s="40"/>
      <c r="I146" s="40"/>
      <c r="J146" s="40"/>
      <c r="K146" s="40"/>
    </row>
    <row r="147" spans="1:11" ht="15" customHeight="1">
      <c r="A147" s="555"/>
      <c r="B147" s="468" t="s">
        <v>783</v>
      </c>
      <c r="C147" s="40" t="s">
        <v>444</v>
      </c>
      <c r="D147" s="40" t="s">
        <v>574</v>
      </c>
      <c r="E147" s="40" t="s">
        <v>324</v>
      </c>
      <c r="F147" s="40"/>
      <c r="G147" s="40"/>
      <c r="H147" s="40"/>
      <c r="I147" s="40"/>
      <c r="J147" s="40"/>
      <c r="K147" s="40"/>
    </row>
    <row r="148" spans="1:11" ht="15" customHeight="1">
      <c r="A148" s="555"/>
      <c r="B148" s="538" t="s">
        <v>785</v>
      </c>
      <c r="C148" s="40" t="s">
        <v>443</v>
      </c>
      <c r="D148" s="40" t="s">
        <v>573</v>
      </c>
      <c r="E148" s="40" t="s">
        <v>323</v>
      </c>
      <c r="F148" s="40"/>
      <c r="G148" s="40"/>
      <c r="H148" s="40"/>
      <c r="I148" s="40"/>
      <c r="J148" s="40"/>
      <c r="K148" s="40"/>
    </row>
    <row r="149" spans="1:11" ht="15" customHeight="1">
      <c r="A149" s="555"/>
      <c r="B149" s="468" t="s">
        <v>782</v>
      </c>
      <c r="C149" s="40" t="s">
        <v>445</v>
      </c>
      <c r="D149" s="40" t="s">
        <v>575</v>
      </c>
      <c r="E149" s="40" t="s">
        <v>325</v>
      </c>
      <c r="F149" s="40"/>
      <c r="G149" s="40"/>
      <c r="H149" s="40"/>
      <c r="I149" s="40"/>
      <c r="J149" s="40"/>
      <c r="K149" s="40"/>
    </row>
    <row r="150" spans="1:11" ht="40.5" customHeight="1">
      <c r="A150" s="555"/>
      <c r="B150" s="541" t="s">
        <v>883</v>
      </c>
      <c r="C150" s="40" t="s">
        <v>446</v>
      </c>
      <c r="D150" s="40" t="s">
        <v>576</v>
      </c>
      <c r="E150" s="541" t="s">
        <v>326</v>
      </c>
      <c r="F150" s="40"/>
      <c r="G150" s="40"/>
      <c r="H150" s="40"/>
      <c r="I150" s="40"/>
      <c r="J150" s="40"/>
      <c r="K150" s="40"/>
    </row>
    <row r="151" spans="1:11" ht="15" customHeight="1">
      <c r="A151" s="555"/>
      <c r="B151" s="468" t="s">
        <v>781</v>
      </c>
      <c r="C151" s="468" t="s">
        <v>447</v>
      </c>
      <c r="D151" s="468" t="s">
        <v>577</v>
      </c>
      <c r="E151" s="40" t="s">
        <v>327</v>
      </c>
      <c r="F151" s="40"/>
      <c r="G151" s="40"/>
      <c r="H151" s="40"/>
      <c r="I151" s="40"/>
      <c r="J151" s="40"/>
      <c r="K151" s="40"/>
    </row>
    <row r="152" spans="1:13" ht="15" customHeight="1">
      <c r="A152" s="555">
        <v>13</v>
      </c>
      <c r="B152" s="468" t="s">
        <v>741</v>
      </c>
      <c r="C152" s="468" t="s">
        <v>448</v>
      </c>
      <c r="D152" s="468" t="s">
        <v>578</v>
      </c>
      <c r="E152" s="40" t="s">
        <v>328</v>
      </c>
      <c r="F152" s="40"/>
      <c r="G152" s="40"/>
      <c r="H152" s="40"/>
      <c r="I152" s="40"/>
      <c r="J152" s="40"/>
      <c r="K152" s="40"/>
      <c r="L152" s="26"/>
      <c r="M152" s="26"/>
    </row>
    <row r="153" spans="1:13" ht="15" customHeight="1">
      <c r="A153" s="555"/>
      <c r="B153" s="468" t="s">
        <v>691</v>
      </c>
      <c r="C153" s="40" t="s">
        <v>691</v>
      </c>
      <c r="D153" s="40" t="s">
        <v>691</v>
      </c>
      <c r="E153" s="40" t="s">
        <v>691</v>
      </c>
      <c r="F153" s="40"/>
      <c r="G153" s="40"/>
      <c r="H153" s="40"/>
      <c r="I153" s="40"/>
      <c r="J153" s="40"/>
      <c r="K153" s="40"/>
      <c r="L153" s="26"/>
      <c r="M153" s="26"/>
    </row>
    <row r="154" spans="1:13" ht="15" customHeight="1">
      <c r="A154" s="555"/>
      <c r="B154" s="468" t="s">
        <v>743</v>
      </c>
      <c r="C154" s="468" t="s">
        <v>449</v>
      </c>
      <c r="D154" s="468" t="s">
        <v>579</v>
      </c>
      <c r="E154" s="468" t="s">
        <v>329</v>
      </c>
      <c r="F154" s="468"/>
      <c r="G154" s="468"/>
      <c r="H154" s="468"/>
      <c r="I154" s="468"/>
      <c r="J154" s="40"/>
      <c r="K154" s="40"/>
      <c r="L154" s="26"/>
      <c r="M154" s="26"/>
    </row>
    <row r="155" spans="1:13" ht="15" customHeight="1">
      <c r="A155" s="555"/>
      <c r="B155" s="468" t="s">
        <v>742</v>
      </c>
      <c r="C155" s="468" t="s">
        <v>450</v>
      </c>
      <c r="D155" s="468" t="s">
        <v>581</v>
      </c>
      <c r="E155" s="468" t="s">
        <v>330</v>
      </c>
      <c r="F155" s="468"/>
      <c r="G155" s="468"/>
      <c r="H155" s="468"/>
      <c r="I155" s="468"/>
      <c r="J155" s="468"/>
      <c r="K155" s="468"/>
      <c r="L155" s="26"/>
      <c r="M155" s="26"/>
    </row>
    <row r="156" spans="1:13" ht="15" customHeight="1">
      <c r="A156" s="555"/>
      <c r="B156" s="468" t="s">
        <v>744</v>
      </c>
      <c r="C156" s="468" t="s">
        <v>451</v>
      </c>
      <c r="D156" s="468" t="s">
        <v>580</v>
      </c>
      <c r="E156" s="468" t="s">
        <v>331</v>
      </c>
      <c r="F156" s="468"/>
      <c r="G156" s="468"/>
      <c r="H156" s="468"/>
      <c r="I156" s="468"/>
      <c r="J156" s="40"/>
      <c r="K156" s="40"/>
      <c r="L156" s="26"/>
      <c r="M156" s="26"/>
    </row>
    <row r="157" spans="1:13" ht="15" customHeight="1">
      <c r="A157" s="555"/>
      <c r="B157" s="468" t="s">
        <v>742</v>
      </c>
      <c r="C157" s="468" t="s">
        <v>450</v>
      </c>
      <c r="D157" s="468" t="s">
        <v>581</v>
      </c>
      <c r="E157" s="468" t="s">
        <v>330</v>
      </c>
      <c r="F157" s="468"/>
      <c r="G157" s="468"/>
      <c r="H157" s="468"/>
      <c r="I157" s="538"/>
      <c r="J157" s="40"/>
      <c r="K157" s="40"/>
      <c r="L157" s="26"/>
      <c r="M157" s="26"/>
    </row>
    <row r="158" spans="1:13" ht="15" customHeight="1">
      <c r="A158" s="555"/>
      <c r="B158" s="468" t="s">
        <v>798</v>
      </c>
      <c r="C158" s="40" t="s">
        <v>452</v>
      </c>
      <c r="D158" s="40" t="s">
        <v>582</v>
      </c>
      <c r="E158" s="40" t="s">
        <v>332</v>
      </c>
      <c r="F158" s="40"/>
      <c r="G158" s="40"/>
      <c r="H158" s="40"/>
      <c r="I158" s="40"/>
      <c r="J158" s="40"/>
      <c r="K158" s="40"/>
      <c r="L158" s="26"/>
      <c r="M158" s="26"/>
    </row>
    <row r="159" spans="1:13" ht="15" customHeight="1">
      <c r="A159" s="555"/>
      <c r="B159" s="468" t="s">
        <v>159</v>
      </c>
      <c r="C159" s="468" t="s">
        <v>453</v>
      </c>
      <c r="D159" s="468" t="s">
        <v>583</v>
      </c>
      <c r="E159" s="468" t="s">
        <v>333</v>
      </c>
      <c r="F159" s="468"/>
      <c r="G159" s="468"/>
      <c r="H159" s="40"/>
      <c r="I159" s="40"/>
      <c r="J159" s="40"/>
      <c r="K159" s="40"/>
      <c r="L159" s="26"/>
      <c r="M159" s="26"/>
    </row>
    <row r="160" spans="1:13" ht="15" customHeight="1">
      <c r="A160" s="555"/>
      <c r="B160" s="468" t="s">
        <v>745</v>
      </c>
      <c r="C160" s="468" t="s">
        <v>454</v>
      </c>
      <c r="D160" s="468" t="s">
        <v>584</v>
      </c>
      <c r="E160" s="468" t="s">
        <v>334</v>
      </c>
      <c r="F160" s="468"/>
      <c r="G160" s="468"/>
      <c r="H160" s="468"/>
      <c r="I160" s="468"/>
      <c r="J160" s="40"/>
      <c r="K160" s="40"/>
      <c r="L160" s="26"/>
      <c r="M160" s="26"/>
    </row>
    <row r="161" spans="1:13" ht="15" customHeight="1">
      <c r="A161" s="555"/>
      <c r="B161" s="468" t="s">
        <v>797</v>
      </c>
      <c r="C161" s="468" t="s">
        <v>450</v>
      </c>
      <c r="D161" s="468" t="s">
        <v>581</v>
      </c>
      <c r="E161" s="468" t="s">
        <v>330</v>
      </c>
      <c r="F161" s="468"/>
      <c r="G161" s="468"/>
      <c r="H161" s="468"/>
      <c r="I161" s="468"/>
      <c r="J161" s="468"/>
      <c r="K161" s="468"/>
      <c r="L161" s="26"/>
      <c r="M161" s="26"/>
    </row>
    <row r="162" spans="1:13" ht="15" customHeight="1">
      <c r="A162" s="555"/>
      <c r="B162" s="468" t="s">
        <v>746</v>
      </c>
      <c r="C162" s="468" t="s">
        <v>455</v>
      </c>
      <c r="D162" s="468" t="s">
        <v>585</v>
      </c>
      <c r="E162" s="468" t="s">
        <v>335</v>
      </c>
      <c r="F162" s="468"/>
      <c r="G162" s="468"/>
      <c r="H162" s="468"/>
      <c r="I162" s="468"/>
      <c r="J162" s="40"/>
      <c r="K162" s="40"/>
      <c r="L162" s="26"/>
      <c r="M162" s="26"/>
    </row>
    <row r="163" spans="1:13" ht="15" customHeight="1">
      <c r="A163" s="555"/>
      <c r="B163" s="468" t="s">
        <v>742</v>
      </c>
      <c r="C163" s="468" t="s">
        <v>450</v>
      </c>
      <c r="D163" s="468" t="s">
        <v>581</v>
      </c>
      <c r="E163" s="468" t="s">
        <v>330</v>
      </c>
      <c r="F163" s="468"/>
      <c r="G163" s="40"/>
      <c r="H163" s="40"/>
      <c r="I163" s="40"/>
      <c r="J163" s="40"/>
      <c r="K163" s="40"/>
      <c r="L163" s="26"/>
      <c r="M163" s="26"/>
    </row>
    <row r="164" spans="1:13" ht="15" customHeight="1">
      <c r="A164" s="555"/>
      <c r="B164" s="468" t="s">
        <v>1023</v>
      </c>
      <c r="C164" s="468" t="s">
        <v>456</v>
      </c>
      <c r="D164" s="468" t="s">
        <v>586</v>
      </c>
      <c r="E164" s="468" t="s">
        <v>336</v>
      </c>
      <c r="F164" s="468"/>
      <c r="G164" s="40"/>
      <c r="H164" s="40"/>
      <c r="I164" s="40"/>
      <c r="J164" s="40"/>
      <c r="K164" s="40"/>
      <c r="L164" s="26"/>
      <c r="M164" s="26"/>
    </row>
    <row r="165" spans="1:13" ht="15" customHeight="1">
      <c r="A165" s="555"/>
      <c r="B165" s="468" t="s">
        <v>747</v>
      </c>
      <c r="C165" s="468" t="s">
        <v>419</v>
      </c>
      <c r="D165" s="468" t="s">
        <v>587</v>
      </c>
      <c r="E165" s="468" t="s">
        <v>337</v>
      </c>
      <c r="F165" s="468"/>
      <c r="G165" s="468"/>
      <c r="H165" s="468"/>
      <c r="I165" s="468"/>
      <c r="J165" s="40"/>
      <c r="K165" s="40"/>
      <c r="L165" s="26"/>
      <c r="M165" s="26"/>
    </row>
    <row r="166" spans="1:13" ht="15" customHeight="1">
      <c r="A166" s="555"/>
      <c r="B166" s="468" t="s">
        <v>742</v>
      </c>
      <c r="C166" s="468" t="s">
        <v>450</v>
      </c>
      <c r="D166" s="468" t="s">
        <v>581</v>
      </c>
      <c r="E166" s="468" t="s">
        <v>330</v>
      </c>
      <c r="F166" s="468"/>
      <c r="G166" s="40"/>
      <c r="H166" s="40"/>
      <c r="I166" s="40"/>
      <c r="J166" s="40"/>
      <c r="K166" s="40"/>
      <c r="L166" s="26"/>
      <c r="M166" s="26"/>
    </row>
    <row r="167" spans="1:13" ht="15" customHeight="1">
      <c r="A167" s="555"/>
      <c r="B167" s="468" t="s">
        <v>1024</v>
      </c>
      <c r="C167" s="468" t="s">
        <v>437</v>
      </c>
      <c r="D167" s="468" t="s">
        <v>588</v>
      </c>
      <c r="E167" s="468" t="s">
        <v>338</v>
      </c>
      <c r="F167" s="468"/>
      <c r="G167" s="40"/>
      <c r="H167" s="40"/>
      <c r="I167" s="40"/>
      <c r="J167" s="40"/>
      <c r="K167" s="40"/>
      <c r="L167" s="26"/>
      <c r="M167" s="26"/>
    </row>
    <row r="168" spans="1:13" ht="15" customHeight="1">
      <c r="A168" s="555"/>
      <c r="B168" s="468" t="s">
        <v>748</v>
      </c>
      <c r="C168" s="468" t="s">
        <v>457</v>
      </c>
      <c r="D168" s="468" t="s">
        <v>590</v>
      </c>
      <c r="E168" s="468" t="s">
        <v>339</v>
      </c>
      <c r="F168" s="468"/>
      <c r="G168" s="468"/>
      <c r="H168" s="468"/>
      <c r="I168" s="468"/>
      <c r="J168" s="468"/>
      <c r="K168" s="468"/>
      <c r="L168" s="548"/>
      <c r="M168" s="548"/>
    </row>
    <row r="169" spans="1:13" ht="15" customHeight="1">
      <c r="A169" s="555">
        <v>14</v>
      </c>
      <c r="B169" s="468" t="s">
        <v>749</v>
      </c>
      <c r="C169" s="468" t="s">
        <v>458</v>
      </c>
      <c r="D169" s="468" t="s">
        <v>589</v>
      </c>
      <c r="E169" s="468" t="s">
        <v>340</v>
      </c>
      <c r="F169" s="468"/>
      <c r="G169" s="468"/>
      <c r="H169" s="468"/>
      <c r="I169" s="468"/>
      <c r="J169" s="468"/>
      <c r="K169" s="468"/>
      <c r="L169" s="26"/>
      <c r="M169" s="26"/>
    </row>
    <row r="170" spans="1:23" ht="29.25" customHeight="1">
      <c r="A170" s="555"/>
      <c r="B170" s="541" t="s">
        <v>750</v>
      </c>
      <c r="C170" s="468" t="s">
        <v>459</v>
      </c>
      <c r="D170" s="468" t="s">
        <v>591</v>
      </c>
      <c r="E170" s="541" t="s">
        <v>341</v>
      </c>
      <c r="F170" s="468"/>
      <c r="G170" s="468"/>
      <c r="H170" s="468"/>
      <c r="I170" s="468"/>
      <c r="J170" s="468"/>
      <c r="K170" s="468"/>
      <c r="L170" s="532"/>
      <c r="M170" s="532"/>
      <c r="N170" s="532"/>
      <c r="O170" s="532"/>
      <c r="P170" s="532"/>
      <c r="Q170" s="532"/>
      <c r="R170" s="532"/>
      <c r="S170" s="532"/>
      <c r="T170" s="532"/>
      <c r="U170" s="532"/>
      <c r="V170" s="532"/>
      <c r="W170" s="549"/>
    </row>
    <row r="171" spans="1:11" ht="15" customHeight="1">
      <c r="A171" s="555"/>
      <c r="B171" s="468" t="s">
        <v>751</v>
      </c>
      <c r="C171" s="468" t="s">
        <v>460</v>
      </c>
      <c r="D171" s="468" t="s">
        <v>592</v>
      </c>
      <c r="E171" s="468" t="s">
        <v>342</v>
      </c>
      <c r="F171" s="468"/>
      <c r="G171" s="40"/>
      <c r="H171" s="40"/>
      <c r="I171" s="40"/>
      <c r="J171" s="40"/>
      <c r="K171" s="40"/>
    </row>
    <row r="172" spans="1:11" ht="15" customHeight="1">
      <c r="A172" s="555"/>
      <c r="B172" s="468" t="s">
        <v>752</v>
      </c>
      <c r="C172" s="468" t="s">
        <v>461</v>
      </c>
      <c r="D172" s="468" t="s">
        <v>685</v>
      </c>
      <c r="E172" s="468" t="s">
        <v>343</v>
      </c>
      <c r="F172" s="468"/>
      <c r="G172" s="40"/>
      <c r="H172" s="40"/>
      <c r="I172" s="40"/>
      <c r="J172" s="40"/>
      <c r="K172" s="40"/>
    </row>
    <row r="173" spans="1:11" ht="15" customHeight="1">
      <c r="A173" s="535" t="s">
        <v>344</v>
      </c>
      <c r="B173" s="40" t="s">
        <v>168</v>
      </c>
      <c r="C173" s="40" t="s">
        <v>462</v>
      </c>
      <c r="D173" s="40"/>
      <c r="E173" s="40" t="s">
        <v>345</v>
      </c>
      <c r="F173" s="40"/>
      <c r="G173" s="40"/>
      <c r="H173" s="40"/>
      <c r="I173" s="40"/>
      <c r="J173" s="40"/>
      <c r="K173" s="40"/>
    </row>
    <row r="174" spans="1:11" ht="15" customHeight="1">
      <c r="A174" s="535"/>
      <c r="B174" s="40" t="s">
        <v>169</v>
      </c>
      <c r="C174" s="40" t="s">
        <v>463</v>
      </c>
      <c r="D174" s="40"/>
      <c r="E174" s="40" t="s">
        <v>346</v>
      </c>
      <c r="F174" s="40"/>
      <c r="G174" s="40"/>
      <c r="H174" s="40"/>
      <c r="I174" s="40"/>
      <c r="J174" s="40"/>
      <c r="K174" s="40"/>
    </row>
    <row r="175" spans="1:11" ht="15" customHeight="1">
      <c r="A175" s="535"/>
      <c r="B175" s="40" t="s">
        <v>170</v>
      </c>
      <c r="C175" s="40" t="s">
        <v>464</v>
      </c>
      <c r="D175" s="40"/>
      <c r="E175" s="40" t="s">
        <v>347</v>
      </c>
      <c r="F175" s="40"/>
      <c r="G175" s="40"/>
      <c r="H175" s="40"/>
      <c r="I175" s="40"/>
      <c r="J175" s="40"/>
      <c r="K175" s="40"/>
    </row>
    <row r="176" spans="1:11" ht="15" customHeight="1">
      <c r="A176" s="535"/>
      <c r="B176" s="40" t="s">
        <v>171</v>
      </c>
      <c r="C176" s="40" t="s">
        <v>465</v>
      </c>
      <c r="D176" s="40"/>
      <c r="E176" s="40" t="s">
        <v>348</v>
      </c>
      <c r="F176" s="40"/>
      <c r="G176" s="40"/>
      <c r="H176" s="40"/>
      <c r="I176" s="40"/>
      <c r="J176" s="40"/>
      <c r="K176" s="40"/>
    </row>
    <row r="177" spans="1:11" ht="15" customHeight="1">
      <c r="A177" s="535"/>
      <c r="B177" s="40" t="s">
        <v>172</v>
      </c>
      <c r="C177" s="40" t="s">
        <v>466</v>
      </c>
      <c r="D177" s="40"/>
      <c r="E177" s="40" t="s">
        <v>349</v>
      </c>
      <c r="F177" s="40"/>
      <c r="G177" s="40"/>
      <c r="H177" s="40"/>
      <c r="I177" s="40"/>
      <c r="J177" s="40"/>
      <c r="K177" s="40"/>
    </row>
    <row r="178" spans="1:11" ht="15" customHeight="1">
      <c r="A178" s="535"/>
      <c r="B178" s="40" t="s">
        <v>207</v>
      </c>
      <c r="C178" s="40" t="s">
        <v>467</v>
      </c>
      <c r="D178" s="40"/>
      <c r="E178" s="40" t="s">
        <v>350</v>
      </c>
      <c r="F178" s="40"/>
      <c r="G178" s="40"/>
      <c r="H178" s="40"/>
      <c r="I178" s="40"/>
      <c r="J178" s="40"/>
      <c r="K178" s="40"/>
    </row>
    <row r="179" spans="1:11" ht="12.75">
      <c r="A179" s="535"/>
      <c r="B179" s="40"/>
      <c r="C179" s="40"/>
      <c r="D179" s="40"/>
      <c r="E179" s="40"/>
      <c r="F179" s="40"/>
      <c r="G179" s="40"/>
      <c r="H179" s="40"/>
      <c r="I179" s="40"/>
      <c r="J179" s="40"/>
      <c r="K179" s="40"/>
    </row>
    <row r="180" spans="1:11" ht="12.75">
      <c r="A180" s="535"/>
      <c r="B180" s="40"/>
      <c r="C180" s="40"/>
      <c r="D180" s="40"/>
      <c r="E180" s="40"/>
      <c r="F180" s="40"/>
      <c r="G180" s="40"/>
      <c r="H180" s="40"/>
      <c r="I180" s="40"/>
      <c r="J180" s="40"/>
      <c r="K180" s="40"/>
    </row>
    <row r="181" spans="1:11" ht="12.75">
      <c r="A181" s="535"/>
      <c r="B181" s="40"/>
      <c r="C181" s="40"/>
      <c r="D181" s="40"/>
      <c r="E181" s="40"/>
      <c r="F181" s="40"/>
      <c r="G181" s="40"/>
      <c r="H181" s="40"/>
      <c r="I181" s="40"/>
      <c r="J181" s="40"/>
      <c r="K181" s="40"/>
    </row>
    <row r="182" spans="1:11" ht="12.75">
      <c r="A182" s="535"/>
      <c r="B182" s="40"/>
      <c r="C182" s="40"/>
      <c r="D182" s="40"/>
      <c r="E182" s="40"/>
      <c r="F182" s="40"/>
      <c r="G182" s="40"/>
      <c r="H182" s="40"/>
      <c r="I182" s="40"/>
      <c r="J182" s="40"/>
      <c r="K182" s="40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Bernstein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Falkenstein</dc:creator>
  <cp:keywords/>
  <dc:description/>
  <cp:lastModifiedBy>Laganella</cp:lastModifiedBy>
  <cp:lastPrinted>2005-02-09T07:46:04Z</cp:lastPrinted>
  <dcterms:created xsi:type="dcterms:W3CDTF">2001-08-28T10:25:37Z</dcterms:created>
  <dcterms:modified xsi:type="dcterms:W3CDTF">2008-03-10T10:35:20Z</dcterms:modified>
  <cp:category/>
  <cp:version/>
  <cp:contentType/>
  <cp:contentStatus/>
</cp:coreProperties>
</file>